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510" windowWidth="16140" windowHeight="13710" tabRatio="168" activeTab="0"/>
  </bookViews>
  <sheets>
    <sheet name="Tabelle1" sheetId="1" r:id="rId1"/>
    <sheet name="Tabelle2" sheetId="2" r:id="rId2"/>
  </sheets>
  <definedNames>
    <definedName name="RECORDER">'Makro7'!$A:$A</definedName>
    <definedName name="Beenden">'Makro3'!$B$1</definedName>
    <definedName name="Drucken">'Makro1'!$B$1</definedName>
    <definedName name="Erläterungen">#REF!</definedName>
    <definedName name="Erläuterungen">'Makro6'!$A$1</definedName>
    <definedName name="hilfsm">#REF!</definedName>
    <definedName name="Identifizierung">'Makro1'!$A$2</definedName>
    <definedName name="Makro1">'Makro3'!$A$1</definedName>
    <definedName name="Makro2">'Makro2'!$A$1</definedName>
    <definedName name="Makro3">'Makro7'!$A$1</definedName>
    <definedName name="manuell10">'Makro4'!$A$1</definedName>
    <definedName name="manuell15">'Makro4'!#REF!</definedName>
    <definedName name="manuell20">'Makro4'!$B$1</definedName>
    <definedName name="manuell30">'Makro2'!#REF!</definedName>
    <definedName name="manuellminus1">'Makro5'!$C$1</definedName>
    <definedName name="manuellplus1">'Makro5'!$B$1</definedName>
    <definedName name="manuellplus10">'Makro5'!$A$1</definedName>
    <definedName name="Treffertoleranz">'Makro2'!$B$1</definedName>
    <definedName name="treffertolminerale">'Makro5'!$D$1</definedName>
    <definedName name="vert.Druck">'Makro1'!$C$1</definedName>
    <definedName name="Wechsel">'Makro2'!$A$1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<sst xmlns="http://schemas.openxmlformats.org/spreadsheetml/2006/main" count="1489" uniqueCount="338">
  <si>
    <t xml:space="preserve">Bearbeiter/in: </t>
  </si>
  <si>
    <t xml:space="preserve">Proben-Kennz.: </t>
  </si>
  <si>
    <t xml:space="preserve">Interne Nr.: </t>
  </si>
  <si>
    <t>Auswertedatum:</t>
  </si>
  <si>
    <t>Vergleichsdaten</t>
  </si>
  <si>
    <t>Olivin</t>
  </si>
  <si>
    <t>Olivin (Fe)</t>
  </si>
  <si>
    <t>Diopsid</t>
  </si>
  <si>
    <t>Diop. Augit</t>
  </si>
  <si>
    <t>Diop. Augit (Al)</t>
  </si>
  <si>
    <t>Ägirinaugit</t>
  </si>
  <si>
    <t>Augit</t>
  </si>
  <si>
    <t>Augit (Al)</t>
  </si>
  <si>
    <t>Pigeonitaugit</t>
  </si>
  <si>
    <t>Pigeonitaugit (Fe)</t>
  </si>
  <si>
    <t>Pigeonit</t>
  </si>
  <si>
    <t>Pigeonit (Fe)</t>
  </si>
  <si>
    <t>Enstatit</t>
  </si>
  <si>
    <t>Bronzit</t>
  </si>
  <si>
    <t>Hypersthen</t>
  </si>
  <si>
    <t>Fe-Hypersthen</t>
  </si>
  <si>
    <t>Pargasit</t>
  </si>
  <si>
    <t>Hastingsit</t>
  </si>
  <si>
    <t>Basalt. Hornbl.</t>
  </si>
  <si>
    <t>Kaersutit</t>
  </si>
  <si>
    <t>Tschermakit</t>
  </si>
  <si>
    <t>Tschermakit (Fe)</t>
  </si>
  <si>
    <t>Pennin</t>
  </si>
  <si>
    <t>Klinochlor</t>
  </si>
  <si>
    <t>Grochauit</t>
  </si>
  <si>
    <t>Diabantit</t>
  </si>
  <si>
    <t>Pyknochlorit</t>
  </si>
  <si>
    <t>Rhipidolith</t>
  </si>
  <si>
    <t>Brunsvigit</t>
  </si>
  <si>
    <t>Aphrosiderit</t>
  </si>
  <si>
    <t>Talk</t>
  </si>
  <si>
    <t>Muskovit</t>
  </si>
  <si>
    <t>Phlogopit</t>
  </si>
  <si>
    <t>Biotit</t>
  </si>
  <si>
    <t>Biotit (Fe)</t>
  </si>
  <si>
    <t>Vermiculit</t>
  </si>
  <si>
    <t>Nontronit</t>
  </si>
  <si>
    <t>Montmorillonit</t>
  </si>
  <si>
    <t>Saponit</t>
  </si>
  <si>
    <t>Epidot</t>
  </si>
  <si>
    <t>Zoisit</t>
  </si>
  <si>
    <t>Prehnit</t>
  </si>
  <si>
    <t>Pumpellyit</t>
  </si>
  <si>
    <t>Sepiolith</t>
  </si>
  <si>
    <t xml:space="preserve">  Chemische Zusammensetzung der Partikel</t>
  </si>
  <si>
    <t xml:space="preserve">  Chrysotil</t>
  </si>
  <si>
    <t xml:space="preserve">  Anthophyllit</t>
  </si>
  <si>
    <t xml:space="preserve">  Tremolit</t>
  </si>
  <si>
    <t xml:space="preserve">  Aktinolith</t>
  </si>
  <si>
    <t>von</t>
  </si>
  <si>
    <t>bis</t>
  </si>
  <si>
    <t>Krit.</t>
  </si>
  <si>
    <t>K + Tol.</t>
  </si>
  <si>
    <t>Tref.t.</t>
  </si>
  <si>
    <t>Element</t>
  </si>
  <si>
    <t>Masse-%</t>
  </si>
  <si>
    <t>Peakh.</t>
  </si>
  <si>
    <t>Integr. Intensität</t>
  </si>
  <si>
    <t>Kriterium:</t>
  </si>
  <si>
    <t>erfüllt?</t>
  </si>
  <si>
    <t>Na</t>
  </si>
  <si>
    <t>Si deutlich</t>
  </si>
  <si>
    <t>Mg</t>
  </si>
  <si>
    <t>Mg deutlich</t>
  </si>
  <si>
    <t>Fe deutlich</t>
  </si>
  <si>
    <t>Al</t>
  </si>
  <si>
    <t>Fe möglich</t>
  </si>
  <si>
    <t>Fe schwach-deutl.</t>
  </si>
  <si>
    <t>Ca deutlich</t>
  </si>
  <si>
    <t>Si</t>
  </si>
  <si>
    <t>Al möglich</t>
  </si>
  <si>
    <t>Mg schwach-deutl.</t>
  </si>
  <si>
    <t>S</t>
  </si>
  <si>
    <t>Ca möglich</t>
  </si>
  <si>
    <t>K</t>
  </si>
  <si>
    <t>Na schwach mögl.</t>
  </si>
  <si>
    <t>Ca</t>
  </si>
  <si>
    <t>K schwach mögl.</t>
  </si>
  <si>
    <t>Mn</t>
  </si>
  <si>
    <t>Mn schwach mögl.</t>
  </si>
  <si>
    <t>Fe</t>
  </si>
  <si>
    <t>Ti schwach mögl.</t>
  </si>
  <si>
    <t>Ti</t>
  </si>
  <si>
    <t>S in Spuren</t>
  </si>
  <si>
    <t>Summe d. Kriterien</t>
  </si>
  <si>
    <t>Si / Mg</t>
  </si>
  <si>
    <t>Bewertung</t>
  </si>
  <si>
    <t>Oxid</t>
  </si>
  <si>
    <t>Geräteparameter</t>
  </si>
  <si>
    <t>Si / Fe</t>
  </si>
  <si>
    <t>Si / Al</t>
  </si>
  <si>
    <t>Si / Ca</t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</si>
  <si>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</si>
  <si>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Fenster:</t>
  </si>
  <si>
    <t>fehlendes Kriterium:</t>
  </si>
  <si>
    <t>Spannbreite</t>
  </si>
  <si>
    <t>MgO</t>
  </si>
  <si>
    <t>Detektor:</t>
  </si>
  <si>
    <t>bei gewählter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</si>
  <si>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</si>
  <si>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t>Raumwinkel [sr]:</t>
  </si>
  <si>
    <t>Toleranz</t>
  </si>
  <si>
    <r>
      <t>SiO</t>
    </r>
    <r>
      <rPr>
        <vertAlign val="subscript"/>
        <sz val="8"/>
        <rFont val="Arial"/>
        <family val="2"/>
      </rPr>
      <t>2</t>
    </r>
  </si>
  <si>
    <t>Spannung [kV]:</t>
  </si>
  <si>
    <r>
      <t>SO</t>
    </r>
    <r>
      <rPr>
        <vertAlign val="sub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2-</t>
    </r>
  </si>
  <si>
    <t>Partikel</t>
  </si>
  <si>
    <t>Toleranz:</t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</si>
  <si>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</si>
  <si>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Länge [</t>
    </r>
    <r>
      <rPr>
        <sz val="8"/>
        <rFont val="Symbol"/>
        <family val="1"/>
      </rPr>
      <t>m</t>
    </r>
    <r>
      <rPr>
        <sz val="8"/>
        <rFont val="Arial"/>
        <family val="2"/>
      </rPr>
      <t>m]:</t>
    </r>
  </si>
  <si>
    <t>CaO</t>
  </si>
  <si>
    <r>
      <t>Durchm. [</t>
    </r>
    <r>
      <rPr>
        <sz val="8"/>
        <rFont val="Symbol"/>
        <family val="1"/>
      </rPr>
      <t>m</t>
    </r>
    <r>
      <rPr>
        <sz val="8"/>
        <rFont val="Arial"/>
        <family val="2"/>
      </rPr>
      <t>m]:</t>
    </r>
  </si>
  <si>
    <t>MnO</t>
  </si>
  <si>
    <t>Formfaktor:</t>
  </si>
  <si>
    <t>FeO</t>
  </si>
  <si>
    <t>L / D:</t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</si>
  <si>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</si>
  <si>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Volumen [</t>
    </r>
    <r>
      <rPr>
        <sz val="8"/>
        <rFont val="Symbol"/>
        <family val="1"/>
      </rPr>
      <t>m</t>
    </r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</t>
    </r>
  </si>
  <si>
    <r>
      <t>TiO</t>
    </r>
    <r>
      <rPr>
        <vertAlign val="subscript"/>
        <sz val="8"/>
        <rFont val="Arial"/>
        <family val="2"/>
      </rPr>
      <t>2</t>
    </r>
  </si>
  <si>
    <r>
      <t>Dichte [g/cm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]:</t>
    </r>
  </si>
  <si>
    <r>
      <t>(TiO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 = Ti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r>
      <rPr>
        <vertAlign val="subscript"/>
        <sz val="7"/>
        <rFont val="Arial"/>
        <family val="2"/>
      </rPr>
      <t xml:space="preserve">3 </t>
    </r>
    <r>
      <rPr>
        <sz val="7"/>
        <rFont val="Arial"/>
        <family val="2"/>
      </rPr>
      <t>/ 0,9)</t>
    </r>
  </si>
  <si>
    <r>
      <t>Masse [</t>
    </r>
    <r>
      <rPr>
        <sz val="8"/>
        <rFont val="Arial"/>
        <family val="2"/>
      </rPr>
      <t>pg]:</t>
    </r>
  </si>
  <si>
    <t>Kontrollvergleich mit den Asbestmineralen</t>
  </si>
  <si>
    <t>Erläuterungstexte, Seite 1</t>
  </si>
  <si>
    <t>Aufbau der EXCEL-Mappe zur Unterstützung der Identifizierung von Partikeln</t>
  </si>
  <si>
    <t>Mineralauswahl / Identifizierung   /   Dichte der Minerale</t>
  </si>
  <si>
    <t>Treffertoleranz / Iteration</t>
  </si>
  <si>
    <t>Hilfsdaten für Makro "manuell plus 10"</t>
  </si>
  <si>
    <t>Tabelle 1</t>
  </si>
  <si>
    <t xml:space="preserve">Tabelle in der die Faseridentifizierung erfolgt. Analysenwerte werden eingegeben </t>
  </si>
  <si>
    <t>Eingabedaten / Organisation</t>
  </si>
  <si>
    <t>Umrechnungsfaktoren</t>
  </si>
  <si>
    <t>Kriterien für Asbestidentifizierung</t>
  </si>
  <si>
    <t>Treffer der Kriterien für Asbeste</t>
  </si>
  <si>
    <t>Chrysotil</t>
  </si>
  <si>
    <t>Anthophyllit</t>
  </si>
  <si>
    <t>Tremolith</t>
  </si>
  <si>
    <t>Aktinolith</t>
  </si>
  <si>
    <t>Amosit</t>
  </si>
  <si>
    <t>Krokydolith</t>
  </si>
  <si>
    <t>EXCEL-Arbeitsmappe zur Unterstützung bei der Identifizierung</t>
  </si>
  <si>
    <t>manuelle Treffertoleranz +10</t>
  </si>
  <si>
    <t>Mögliche Minerale</t>
  </si>
  <si>
    <t>oder aus Tabelle 2 als Spalte in Tabelle 1 kopiert (Makro: Strg.+i)</t>
  </si>
  <si>
    <t>Dichte der Minerale</t>
  </si>
  <si>
    <t>von Partikeln anhand von REM-EDX-Analysen (FASER-ID.XLS)</t>
  </si>
  <si>
    <t>Standardisierte Analysenwerte</t>
  </si>
  <si>
    <t>Verhältnisse der Element-</t>
  </si>
  <si>
    <t>(Bewertung: Anzahl nicht übereinstimmender Elementgehalte)</t>
  </si>
  <si>
    <t xml:space="preserve">Rechts neben der Anzeigeseite sind alle Vergleichsdaten abgelegt. Außerdem </t>
  </si>
  <si>
    <t>Faktoren</t>
  </si>
  <si>
    <t>Oxid --&gt;</t>
  </si>
  <si>
    <t>Faktor Element</t>
  </si>
  <si>
    <t>FaktorSauerstoff</t>
  </si>
  <si>
    <t>Intensität</t>
  </si>
  <si>
    <t>Tremolit</t>
  </si>
  <si>
    <t>Kriterien</t>
  </si>
  <si>
    <t xml:space="preserve">Angaben der Dichte nach </t>
  </si>
  <si>
    <t>Dichte der Asbeste</t>
  </si>
  <si>
    <t>Zus. Toleranz:</t>
  </si>
  <si>
    <t>gehalte:</t>
  </si>
  <si>
    <t>Zusätzliche Toleranz der Elementgehalte in % relativ:</t>
  </si>
  <si>
    <t>Treffertoleranz berechnen ?</t>
  </si>
  <si>
    <t>n</t>
  </si>
  <si>
    <t>Treffertoleranz:</t>
  </si>
  <si>
    <t>erfolgen hier alle Hilfsberechnungen.</t>
  </si>
  <si>
    <t>Welche Daten?</t>
  </si>
  <si>
    <t>Oxide</t>
  </si>
  <si>
    <t>O (individ. Wert!)</t>
  </si>
  <si>
    <t>im Mineral</t>
  </si>
  <si>
    <t>O</t>
  </si>
  <si>
    <t>ca.</t>
  </si>
  <si>
    <t>KLOCKMANN (1967)</t>
  </si>
  <si>
    <t>Treffer (x) = 1</t>
  </si>
  <si>
    <t>Hilfsdaten für Makro "manuell plus 1"</t>
  </si>
  <si>
    <t>Anteil</t>
  </si>
  <si>
    <t>Si/Mg</t>
  </si>
  <si>
    <t>Tabelle 2</t>
  </si>
  <si>
    <t>Analysendaten können in Spalten so abgelegt werden, daß sie direkt in</t>
  </si>
  <si>
    <t>Na2O</t>
  </si>
  <si>
    <t>&lt;</t>
  </si>
  <si>
    <t>und RÖSLER (1979)</t>
  </si>
  <si>
    <t>Mögliche Minerale und Asbeste</t>
  </si>
  <si>
    <t>Aufbau der EXCEL-Mappe zur Faseridentifizierung</t>
  </si>
  <si>
    <t>Si/Al</t>
  </si>
  <si>
    <t>Tabelle 1 kopiert werden können.</t>
  </si>
  <si>
    <t>&gt;</t>
  </si>
  <si>
    <t>und TRÖGER (1971)</t>
  </si>
  <si>
    <t>Treffer bei folgender Toleranz:</t>
  </si>
  <si>
    <t>Si/Ca</t>
  </si>
  <si>
    <t>Makros</t>
  </si>
  <si>
    <t>Hier sind die Makros abgelegt. Der Zugriff erfolgt automatisch. Die Makros</t>
  </si>
  <si>
    <t>summe</t>
  </si>
  <si>
    <t>Al2O3</t>
  </si>
  <si>
    <t>Si/Fe</t>
  </si>
  <si>
    <t>werden im Gebrauch nicht in den Vordergrund geholt.</t>
  </si>
  <si>
    <t>Summe vor Normierung</t>
  </si>
  <si>
    <t>SiO2</t>
  </si>
  <si>
    <t>oder aus Tabelle 2 als Spalte in Tabelle 1 kopiert (Makro für Oxide: Strg.+ i).</t>
  </si>
  <si>
    <t>Hilfsdaten für Makro "manuell minus 1"</t>
  </si>
  <si>
    <t>Mg/Fe</t>
  </si>
  <si>
    <t>Faktor zur Normierung auf 100</t>
  </si>
  <si>
    <t>SO4</t>
  </si>
  <si>
    <t>Soll auf 100 normiert</t>
  </si>
  <si>
    <t>Makros zur Erleichterung der Arbeit mit den Tabellen</t>
  </si>
  <si>
    <t>Wichtige Hinweise</t>
  </si>
  <si>
    <t>K2O</t>
  </si>
  <si>
    <t>erfolgen hier die meisten Hilfsberechnungen.</t>
  </si>
  <si>
    <t>werden? (j/n)</t>
  </si>
  <si>
    <t>j</t>
  </si>
  <si>
    <t>Tastenbefehl</t>
  </si>
  <si>
    <t>Funktion</t>
  </si>
  <si>
    <t>Vor erstem Programmstart lesen !!</t>
  </si>
  <si>
    <t>Summe der Oxidgehalte</t>
  </si>
  <si>
    <t>Strg + a:</t>
  </si>
  <si>
    <t>Richtet den Bildschirm zur Arbeit mit der Tabelle 1 ein</t>
  </si>
  <si>
    <t>Summe der Standardwerte</t>
  </si>
  <si>
    <t>Strg + w:</t>
  </si>
  <si>
    <t>Wechsel in die Tabelle 2 (Analysendatenablage)</t>
  </si>
  <si>
    <t>eingegebene</t>
  </si>
  <si>
    <t>-</t>
  </si>
  <si>
    <t>Strg + i:</t>
  </si>
  <si>
    <t>Wechsel in die Tabelle 1, Einfügen einer in Tabelle 2 manuell ausgewählten</t>
  </si>
  <si>
    <t>Elemente als</t>
  </si>
  <si>
    <t>Fe2O3</t>
  </si>
  <si>
    <t>Spalte mit Analysendaten (Oxide), zusätzl. Toleranz = 0, Treffertoleranz "n"</t>
  </si>
  <si>
    <t>TiO2</t>
  </si>
  <si>
    <t>Kontrollvergleich</t>
  </si>
  <si>
    <t>Strg + t:</t>
  </si>
  <si>
    <t>Treffertoleranz "j"</t>
  </si>
  <si>
    <t>berechnet:</t>
  </si>
  <si>
    <t>Eingaben dürfen nur in den gelb markierten Feldern erfolgen.</t>
  </si>
  <si>
    <t xml:space="preserve"> FASER-IDENTIFIZIERUNG 1.1, 6/99  - BIA, St. Augustin -</t>
  </si>
  <si>
    <t>mit den Asbestmineralen</t>
  </si>
  <si>
    <t>Strg + z:</t>
  </si>
  <si>
    <t>Treffertoleranz "m" (mögliche Minerale außer Asbeste)</t>
  </si>
  <si>
    <t>Vor dem ersten Programmstart:</t>
  </si>
  <si>
    <t>Summe der neg.Kriterien</t>
  </si>
  <si>
    <t>Spannbreite bei gewählter Toleranz</t>
  </si>
  <si>
    <t>Werden andere Zellinhalte verändert, arbeitet die Tabelle nicht fehlerfrei</t>
  </si>
  <si>
    <t>Strg + u</t>
  </si>
  <si>
    <t>Treffertoleranz "a" (nur Asbeste)</t>
  </si>
  <si>
    <t>Im Menü "Extras" / "Optionen"</t>
  </si>
  <si>
    <t>Strg + k:</t>
  </si>
  <si>
    <t>Treffertoleranz "n", zusätzl. Toleranz = 10</t>
  </si>
  <si>
    <t>muß im Menüpunkt "Berechnen"</t>
  </si>
  <si>
    <t>MG(2*TiO2)</t>
  </si>
  <si>
    <t>Änderung gegenüber Vers. 1.0, 8/97: Sepiolith als weiteres mögliches Mineral eingefügt</t>
  </si>
  <si>
    <t>Strg + m:</t>
  </si>
  <si>
    <t>Treffertoleranz "n", zusätzl. Toleranz = 20</t>
  </si>
  <si>
    <t>Die Berechnung auf automatisch</t>
  </si>
  <si>
    <t>MG(Ti2O3)</t>
  </si>
  <si>
    <t>Asbeste</t>
  </si>
  <si>
    <t>Treffer:</t>
  </si>
  <si>
    <t>Strg + o:</t>
  </si>
  <si>
    <t>zusätzl. Toleranz wird um 1 erniedrigt</t>
  </si>
  <si>
    <t>gestellt werden und die Iteration mit</t>
  </si>
  <si>
    <t>summe:</t>
  </si>
  <si>
    <t>Kontrollvergl.</t>
  </si>
  <si>
    <t>Strg + p:</t>
  </si>
  <si>
    <t>zusätzl. Toleranz wird um 1 vergrößert</t>
  </si>
  <si>
    <t>der maximalen Iterationszahl 100</t>
  </si>
  <si>
    <t>TiO2 --&gt; Ti2O3</t>
  </si>
  <si>
    <t>ausgewählte Minerale</t>
  </si>
  <si>
    <t>Strg + s:</t>
  </si>
  <si>
    <t>zusätzl. Toleranz wird um 10 vergrößert</t>
  </si>
  <si>
    <t>aktiviert werden.</t>
  </si>
  <si>
    <t>Ti2O3 --&gt; TiO2</t>
  </si>
  <si>
    <t>Dichte des 1. Minerals</t>
  </si>
  <si>
    <t>Dichte Minerale</t>
  </si>
  <si>
    <t>Treffertoleranz (ohne Asbete)?</t>
  </si>
  <si>
    <t>Zähler</t>
  </si>
  <si>
    <t>Strg + d:</t>
  </si>
  <si>
    <t>Ausdruck der Tabelle, Querformat</t>
  </si>
  <si>
    <t>Partikel gemäß Konventionen identifiziert als:</t>
  </si>
  <si>
    <t>Dichte Asbeste</t>
  </si>
  <si>
    <t>Strg + v:</t>
  </si>
  <si>
    <t>Ausdruck der Tabelle, vertikal (obere Seitenhälfte)</t>
  </si>
  <si>
    <t>Partikelart:</t>
  </si>
  <si>
    <t>Ident. Minerale</t>
  </si>
  <si>
    <t>Strg + b:</t>
  </si>
  <si>
    <t>Bearbeitungs- und Statuszeile, sowie Symbolleisten werden wieder angezeigt</t>
  </si>
  <si>
    <t>L/D-Verhältnis:</t>
  </si>
  <si>
    <t>Dichte</t>
  </si>
  <si>
    <t>Trefer Asbestmineral</t>
  </si>
  <si>
    <t>Das Makro [Strg. + i] darf nur in Tabelle 2 benutzt werden.</t>
  </si>
  <si>
    <t>Die übrigen Makros dürfen nur in Tabelle 1 eingesetzt werden</t>
  </si>
  <si>
    <t xml:space="preserve">    Vor dem ersten Start bitte Erläuterungen ausdrucken lassen (Strg + e drücken)</t>
  </si>
  <si>
    <t>Zum Start bitte [Strg. + a] drücken</t>
  </si>
  <si>
    <t>Hinweis:</t>
  </si>
  <si>
    <t>Nach Speichern der Tabelle, z.B. nach Eingabe eigener Daten in Tabelle 2, erscheint der Startbildschirm</t>
  </si>
  <si>
    <t>nicht mehr automatisch wie beim ersten Start der EXCEL-Arbeitsmappe FASERID.XLS.</t>
  </si>
  <si>
    <t xml:space="preserve">Grundsätzlich sollte vor Beginn der Arbeiten mit der Tabelle 1 das Makro [Strg. + a] </t>
  </si>
  <si>
    <t>ausgeführt werden, damit der Bildschirm optimal genutzt wird.</t>
  </si>
  <si>
    <t xml:space="preserve">Je nach eingestellter Auflösung des Bildschirms ist ein unterschiedlicher Ausschnitt der Anzeigeseite </t>
  </si>
  <si>
    <t xml:space="preserve">der Tabelle 1 zu sehen. Im Menü "Ansicht" kann die Größe der Tabelle im Menüpunkt "Zoom" </t>
  </si>
  <si>
    <t xml:space="preserve">nachträglich angepaßt werden. </t>
  </si>
  <si>
    <t>Schematischer Aufbau der Tabelle 1:</t>
  </si>
  <si>
    <t>Anzeigeseite</t>
  </si>
  <si>
    <t>der Faser-</t>
  </si>
  <si>
    <t>V  e  r  g  l  e  i  c  h  s  d  a  t  e  n</t>
  </si>
  <si>
    <t>identifizierung</t>
  </si>
  <si>
    <t>Start-</t>
  </si>
  <si>
    <t>bild-</t>
  </si>
  <si>
    <t xml:space="preserve">H  i  l  f  s  b  e  r  e  c  h  n  u  n  g  e  n  </t>
  </si>
  <si>
    <t>Dieser</t>
  </si>
  <si>
    <t>schirm</t>
  </si>
  <si>
    <t>Info-</t>
  </si>
  <si>
    <t>ausdruck</t>
  </si>
  <si>
    <t>Vor der Benutzung der Arbeitsmappe bitte eine Kopie anfertigen,</t>
  </si>
  <si>
    <t>falls aus Versehen Zellinhalte überschrieben werden,</t>
  </si>
  <si>
    <t>die nicht für Eingaben vorgesehen sind</t>
  </si>
  <si>
    <t>Literaturdaten</t>
  </si>
  <si>
    <t>DEER/HOWIE/ZUSSMANN: Tremolit-Aktinolith-Ferroaktinolith S.251-253</t>
  </si>
  <si>
    <t>Basaltische Horblende</t>
  </si>
  <si>
    <r>
      <t>SO</t>
    </r>
    <r>
      <rPr>
        <vertAlign val="subscript"/>
        <sz val="8"/>
        <rFont val="Arial"/>
        <family val="2"/>
      </rPr>
      <t>4</t>
    </r>
  </si>
  <si>
    <t>Kurz-Id.</t>
  </si>
  <si>
    <t>Leertabelle</t>
  </si>
  <si>
    <t>Probe ?</t>
  </si>
  <si>
    <t>Identifizierung (i)</t>
  </si>
  <si>
    <t>Drucken (d)</t>
  </si>
  <si>
    <t>vert.Druck (v)</t>
  </si>
  <si>
    <t>Wechsel (w)</t>
  </si>
  <si>
    <t>Treffertoleranz (t)</t>
  </si>
  <si>
    <t>Makro1(a)</t>
  </si>
  <si>
    <t>Beenden (b)</t>
  </si>
  <si>
    <t>manuell10 (k)</t>
  </si>
  <si>
    <t>manuell20 (m)</t>
  </si>
  <si>
    <t>manuellplus10 (s)</t>
  </si>
  <si>
    <t>manuellplus1 (p)</t>
  </si>
  <si>
    <t>manuellminus1 (o)</t>
  </si>
  <si>
    <t>treffertolminerale (z)</t>
  </si>
  <si>
    <t>Erläuterungen (e)</t>
  </si>
  <si>
    <t>Makro3 (u)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</si>
</sst>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0.00.."/>
    <numFmt numFmtId="175" formatCode="0.00;;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</font>
    <font>
      <b/>
      <sz val="8"/>
      <color indexed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8"/>
      <name val="Courier New"/>
      <family val="3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13"/>
      <name val="Arial"/>
      <family val="2"/>
    </font>
    <font>
      <vertAlign val="subscript"/>
      <sz val="7"/>
      <name val="Arial"/>
      <family val="2"/>
    </font>
    <font>
      <sz val="10"/>
      <color indexed="34"/>
      <name val="Arial"/>
      <family val="2"/>
    </font>
    <font>
      <sz val="8"/>
      <color indexed="3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0"/>
    </font>
    <font>
      <b/>
      <sz val="11"/>
      <color indexed="34"/>
      <name val="Arial"/>
      <family val="2"/>
    </font>
    <font>
      <b/>
      <sz val="9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color indexed="34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171" fontId="4" fillId="0" borderId="6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18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3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32" xfId="0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0" fontId="5" fillId="2" borderId="34" xfId="0" applyFont="1" applyFill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4" fillId="0" borderId="35" xfId="0" applyFont="1" applyBorder="1" applyAlignment="1">
      <alignment/>
    </xf>
    <xf numFmtId="164" fontId="4" fillId="0" borderId="24" xfId="0" applyNumberFormat="1" applyFont="1" applyBorder="1" applyAlignment="1">
      <alignment/>
    </xf>
    <xf numFmtId="0" fontId="4" fillId="0" borderId="3" xfId="0" applyNumberFormat="1" applyFont="1" applyBorder="1" applyAlignment="1">
      <alignment horizontal="right"/>
    </xf>
    <xf numFmtId="0" fontId="4" fillId="2" borderId="31" xfId="0" applyFont="1" applyFill="1" applyBorder="1" applyAlignment="1">
      <alignment horizontal="left"/>
    </xf>
    <xf numFmtId="164" fontId="4" fillId="0" borderId="31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23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39" xfId="0" applyFont="1" applyBorder="1" applyAlignment="1">
      <alignment/>
    </xf>
    <xf numFmtId="0" fontId="13" fillId="0" borderId="31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6" fillId="2" borderId="8" xfId="0" applyFont="1" applyFill="1" applyBorder="1" applyAlignment="1">
      <alignment/>
    </xf>
    <xf numFmtId="0" fontId="9" fillId="0" borderId="9" xfId="0" applyFont="1" applyBorder="1" applyAlignment="1">
      <alignment/>
    </xf>
    <xf numFmtId="0" fontId="4" fillId="0" borderId="30" xfId="0" applyFont="1" applyFill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175" fontId="4" fillId="0" borderId="1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4" fillId="0" borderId="3" xfId="0" applyNumberFormat="1" applyFont="1" applyBorder="1" applyAlignment="1">
      <alignment/>
    </xf>
    <xf numFmtId="175" fontId="4" fillId="0" borderId="13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9" xfId="0" applyFont="1" applyBorder="1" applyAlignment="1">
      <alignment/>
    </xf>
    <xf numFmtId="0" fontId="4" fillId="2" borderId="36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14" fontId="5" fillId="0" borderId="20" xfId="0" applyNumberFormat="1" applyFont="1" applyFill="1" applyBorder="1" applyAlignment="1">
      <alignment horizontal="right"/>
    </xf>
    <xf numFmtId="0" fontId="8" fillId="0" borderId="16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75" fontId="4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3" fillId="0" borderId="30" xfId="0" applyFont="1" applyBorder="1" applyAlignment="1">
      <alignment/>
    </xf>
    <xf numFmtId="2" fontId="4" fillId="0" borderId="31" xfId="0" applyNumberFormat="1" applyFont="1" applyBorder="1" applyAlignment="1">
      <alignment horizontal="left"/>
    </xf>
    <xf numFmtId="2" fontId="4" fillId="0" borderId="47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6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75" fontId="4" fillId="0" borderId="6" xfId="0" applyNumberFormat="1" applyFont="1" applyBorder="1" applyAlignment="1">
      <alignment horizontal="left"/>
    </xf>
    <xf numFmtId="175" fontId="4" fillId="0" borderId="6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5" xfId="0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31" xfId="0" applyFont="1" applyFill="1" applyBorder="1" applyAlignment="1">
      <alignment vertical="center"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9" fillId="0" borderId="0" xfId="0" applyFont="1" applyAlignment="1">
      <alignment/>
    </xf>
    <xf numFmtId="0" fontId="4" fillId="2" borderId="12" xfId="0" applyFont="1" applyFill="1" applyBorder="1" applyAlignment="1">
      <alignment/>
    </xf>
    <xf numFmtId="0" fontId="5" fillId="0" borderId="30" xfId="0" applyFont="1" applyBorder="1" applyAlignment="1">
      <alignment horizontal="left"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164" fontId="4" fillId="2" borderId="6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5" fillId="0" borderId="22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8" fillId="4" borderId="3" xfId="0" applyFont="1" applyFill="1" applyBorder="1" applyAlignment="1">
      <alignment/>
    </xf>
    <xf numFmtId="0" fontId="19" fillId="4" borderId="3" xfId="0" applyFont="1" applyFill="1" applyBorder="1" applyAlignment="1">
      <alignment/>
    </xf>
    <xf numFmtId="0" fontId="22" fillId="6" borderId="9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0" fontId="23" fillId="6" borderId="1" xfId="0" applyFont="1" applyFill="1" applyBorder="1" applyAlignment="1">
      <alignment/>
    </xf>
    <xf numFmtId="0" fontId="23" fillId="6" borderId="23" xfId="0" applyFont="1" applyFill="1" applyBorder="1" applyAlignment="1">
      <alignment/>
    </xf>
    <xf numFmtId="0" fontId="4" fillId="5" borderId="30" xfId="0" applyFont="1" applyFill="1" applyBorder="1" applyAlignment="1">
      <alignment/>
    </xf>
    <xf numFmtId="0" fontId="4" fillId="5" borderId="3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24" fillId="0" borderId="0" xfId="0" applyFont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75" fontId="13" fillId="0" borderId="1" xfId="0" applyNumberFormat="1" applyFont="1" applyBorder="1" applyAlignment="1">
      <alignment horizontal="left"/>
    </xf>
    <xf numFmtId="175" fontId="13" fillId="0" borderId="0" xfId="0" applyNumberFormat="1" applyFont="1" applyBorder="1" applyAlignment="1">
      <alignment horizontal="left"/>
    </xf>
    <xf numFmtId="175" fontId="13" fillId="0" borderId="6" xfId="0" applyNumberFormat="1" applyFont="1" applyBorder="1" applyAlignment="1">
      <alignment horizontal="left"/>
    </xf>
    <xf numFmtId="175" fontId="13" fillId="0" borderId="1" xfId="0" applyNumberFormat="1" applyFont="1" applyBorder="1" applyAlignment="1">
      <alignment/>
    </xf>
    <xf numFmtId="175" fontId="13" fillId="0" borderId="0" xfId="0" applyNumberFormat="1" applyFont="1" applyBorder="1" applyAlignment="1">
      <alignment/>
    </xf>
    <xf numFmtId="175" fontId="13" fillId="0" borderId="6" xfId="0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32" xfId="0" applyBorder="1" applyAlignment="1">
      <alignment/>
    </xf>
    <xf numFmtId="0" fontId="4" fillId="0" borderId="32" xfId="0" applyFont="1" applyBorder="1" applyAlignment="1">
      <alignment/>
    </xf>
    <xf numFmtId="0" fontId="4" fillId="0" borderId="5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24" xfId="0" applyFont="1" applyBorder="1" applyAlignment="1">
      <alignment horizontal="left"/>
    </xf>
    <xf numFmtId="0" fontId="6" fillId="0" borderId="52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4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6" fillId="6" borderId="0" xfId="0" applyFont="1" applyFill="1" applyAlignment="1">
      <alignment/>
    </xf>
    <xf numFmtId="0" fontId="5" fillId="0" borderId="31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7" fillId="6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0" fontId="28" fillId="0" borderId="9" xfId="0" applyFont="1" applyBorder="1" applyAlignment="1">
      <alignment/>
    </xf>
    <xf numFmtId="175" fontId="4" fillId="0" borderId="45" xfId="0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30" fillId="0" borderId="20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12" fillId="0" borderId="31" xfId="0" applyFont="1" applyBorder="1" applyAlignment="1">
      <alignment horizontal="center"/>
    </xf>
    <xf numFmtId="0" fontId="5" fillId="2" borderId="34" xfId="0" applyFont="1" applyFill="1" applyBorder="1" applyAlignment="1">
      <alignment/>
    </xf>
    <xf numFmtId="0" fontId="0" fillId="6" borderId="0" xfId="0" applyFill="1" applyAlignment="1">
      <alignment/>
    </xf>
    <xf numFmtId="0" fontId="31" fillId="6" borderId="1" xfId="0" applyFont="1" applyFill="1" applyBorder="1" applyAlignment="1">
      <alignment/>
    </xf>
    <xf numFmtId="0" fontId="3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showGridLines="0" showRowColHeaders="0" tabSelected="1" zoomScale="75" zoomScaleNormal="75" workbookViewId="0" topLeftCell="A1">
      <selection activeCell="T53" sqref="T53"/>
    </sheetView>
  </sheetViews>
  <sheetFormatPr defaultColWidth="11.421875" defaultRowHeight="12.75"/>
  <cols>
    <col min="1" max="1" width="2.140625" style="1" customWidth="1"/>
    <col min="2" max="2" width="6.421875" style="1" customWidth="1"/>
    <col min="3" max="3" width="7.00390625" style="1" customWidth="1"/>
    <col min="4" max="4" width="6.57421875" style="1" customWidth="1"/>
    <col min="5" max="5" width="11.00390625" style="1" customWidth="1"/>
    <col min="6" max="6" width="6.57421875" style="1" customWidth="1"/>
    <col min="7" max="7" width="2.421875" style="1" customWidth="1"/>
    <col min="8" max="8" width="12.8515625" style="1" customWidth="1"/>
    <col min="9" max="9" width="7.140625" style="1" customWidth="1"/>
    <col min="10" max="10" width="5.7109375" style="1" customWidth="1"/>
    <col min="11" max="11" width="1.28515625" style="1" customWidth="1"/>
    <col min="12" max="12" width="13.8515625" style="1" customWidth="1"/>
    <col min="13" max="13" width="7.7109375" style="1" customWidth="1"/>
    <col min="14" max="14" width="4.8515625" style="1" customWidth="1"/>
    <col min="15" max="15" width="1.28515625" style="1" customWidth="1"/>
    <col min="16" max="16" width="13.57421875" style="1" customWidth="1"/>
    <col min="17" max="17" width="7.28125" style="1" customWidth="1"/>
    <col min="18" max="18" width="5.7109375" style="1" customWidth="1"/>
    <col min="19" max="19" width="1.421875" style="1" customWidth="1"/>
    <col min="20" max="20" width="13.28125" style="1" customWidth="1"/>
    <col min="21" max="21" width="8.00390625" style="1" customWidth="1"/>
    <col min="22" max="22" width="5.421875" style="1" customWidth="1"/>
    <col min="23" max="24" width="11.421875" style="1" customWidth="1"/>
    <col min="25" max="25" width="12.28125" style="1" customWidth="1"/>
    <col min="26" max="161" width="5.57421875" style="1" customWidth="1"/>
    <col min="162" max="162" width="5.421875" style="1" customWidth="1"/>
    <col min="163" max="245" width="5.57421875" style="1" customWidth="1"/>
    <col min="246" max="246" width="4.140625" style="1" customWidth="1"/>
    <col min="247" max="16384" width="11.421875" style="1" customWidth="1"/>
  </cols>
  <sheetData>
    <row r="1" spans="1:246" ht="15.75" customHeight="1" thickBot="1">
      <c r="A1" s="288"/>
      <c r="B1" s="167"/>
      <c r="C1" s="168" t="s">
        <v>0</v>
      </c>
      <c r="D1" s="166"/>
      <c r="E1" s="166"/>
      <c r="F1" s="166"/>
      <c r="G1" s="168"/>
      <c r="H1" s="168" t="s">
        <v>1</v>
      </c>
      <c r="I1" s="166"/>
      <c r="J1" s="166"/>
      <c r="K1" s="166"/>
      <c r="L1" s="166"/>
      <c r="M1" s="167"/>
      <c r="N1" s="168" t="s">
        <v>2</v>
      </c>
      <c r="O1" s="166"/>
      <c r="P1" s="166"/>
      <c r="Q1" s="168"/>
      <c r="R1" s="167"/>
      <c r="S1" s="168" t="s">
        <v>3</v>
      </c>
      <c r="T1" s="169">
        <f ca="1">TODAY()</f>
        <v>39189</v>
      </c>
      <c r="U1" s="165"/>
      <c r="V1" s="144"/>
      <c r="X1" s="83" t="s">
        <v>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61"/>
    </row>
    <row r="2" spans="1:246" ht="22.5" customHeight="1" thickBot="1">
      <c r="A2" s="8"/>
      <c r="X2" s="83"/>
      <c r="Y2" s="3"/>
      <c r="Z2" s="91" t="s">
        <v>5</v>
      </c>
      <c r="AA2" s="89"/>
      <c r="AB2" s="90"/>
      <c r="AC2" s="90"/>
      <c r="AD2" s="90"/>
      <c r="AE2" s="91" t="s">
        <v>6</v>
      </c>
      <c r="AF2" s="89"/>
      <c r="AG2" s="90"/>
      <c r="AH2" s="90"/>
      <c r="AI2" s="90"/>
      <c r="AJ2" s="91" t="s">
        <v>7</v>
      </c>
      <c r="AK2" s="89"/>
      <c r="AL2" s="90"/>
      <c r="AM2" s="90"/>
      <c r="AN2" s="90"/>
      <c r="AO2" s="91" t="s">
        <v>8</v>
      </c>
      <c r="AP2" s="89"/>
      <c r="AQ2" s="90"/>
      <c r="AR2" s="90"/>
      <c r="AS2" s="90"/>
      <c r="AT2" s="91" t="s">
        <v>9</v>
      </c>
      <c r="AU2" s="89"/>
      <c r="AV2" s="90"/>
      <c r="AW2" s="90"/>
      <c r="AX2" s="90"/>
      <c r="AY2" s="91" t="s">
        <v>10</v>
      </c>
      <c r="AZ2" s="89"/>
      <c r="BA2" s="90"/>
      <c r="BB2" s="90"/>
      <c r="BC2" s="90"/>
      <c r="BD2" s="91" t="s">
        <v>11</v>
      </c>
      <c r="BE2" s="89"/>
      <c r="BF2" s="90"/>
      <c r="BG2" s="90"/>
      <c r="BH2" s="90"/>
      <c r="BI2" s="91" t="s">
        <v>12</v>
      </c>
      <c r="BJ2" s="89"/>
      <c r="BK2" s="90"/>
      <c r="BL2" s="90"/>
      <c r="BM2" s="90"/>
      <c r="BN2" s="91" t="s">
        <v>13</v>
      </c>
      <c r="BO2" s="89"/>
      <c r="BP2" s="90"/>
      <c r="BQ2" s="90"/>
      <c r="BR2" s="90"/>
      <c r="BS2" s="91" t="s">
        <v>14</v>
      </c>
      <c r="BT2" s="89"/>
      <c r="BU2" s="90"/>
      <c r="BV2" s="90"/>
      <c r="BW2" s="90"/>
      <c r="BX2" s="91" t="s">
        <v>15</v>
      </c>
      <c r="BY2" s="89"/>
      <c r="BZ2" s="90"/>
      <c r="CA2" s="90"/>
      <c r="CB2" s="90"/>
      <c r="CC2" s="91" t="s">
        <v>16</v>
      </c>
      <c r="CD2" s="89"/>
      <c r="CE2" s="90"/>
      <c r="CF2" s="90"/>
      <c r="CG2" s="90"/>
      <c r="CH2" s="91" t="s">
        <v>17</v>
      </c>
      <c r="CI2" s="89"/>
      <c r="CJ2" s="90"/>
      <c r="CK2" s="90"/>
      <c r="CL2" s="90"/>
      <c r="CM2" s="91" t="s">
        <v>18</v>
      </c>
      <c r="CN2" s="89"/>
      <c r="CO2" s="90"/>
      <c r="CP2" s="90"/>
      <c r="CQ2" s="90"/>
      <c r="CR2" s="91" t="s">
        <v>19</v>
      </c>
      <c r="CS2" s="89"/>
      <c r="CT2" s="90"/>
      <c r="CU2" s="90"/>
      <c r="CV2" s="90"/>
      <c r="CW2" s="91" t="s">
        <v>20</v>
      </c>
      <c r="CX2" s="89"/>
      <c r="CY2" s="90"/>
      <c r="CZ2" s="90"/>
      <c r="DA2" s="90"/>
      <c r="DB2" s="91" t="s">
        <v>21</v>
      </c>
      <c r="DC2" s="89"/>
      <c r="DD2" s="90"/>
      <c r="DE2" s="90"/>
      <c r="DF2" s="90"/>
      <c r="DG2" s="91" t="s">
        <v>22</v>
      </c>
      <c r="DH2" s="89"/>
      <c r="DI2" s="90"/>
      <c r="DJ2" s="90"/>
      <c r="DK2" s="90"/>
      <c r="DL2" s="91" t="s">
        <v>23</v>
      </c>
      <c r="DM2" s="89"/>
      <c r="DN2" s="90"/>
      <c r="DO2" s="90"/>
      <c r="DP2" s="90"/>
      <c r="DQ2" s="91" t="s">
        <v>24</v>
      </c>
      <c r="DR2" s="89"/>
      <c r="DS2" s="90"/>
      <c r="DT2" s="90"/>
      <c r="DU2" s="90"/>
      <c r="DV2" s="91" t="s">
        <v>25</v>
      </c>
      <c r="DW2" s="89"/>
      <c r="DX2" s="90"/>
      <c r="DY2" s="90"/>
      <c r="DZ2" s="90"/>
      <c r="EA2" s="91" t="s">
        <v>26</v>
      </c>
      <c r="EB2" s="89"/>
      <c r="EC2" s="90"/>
      <c r="ED2" s="90"/>
      <c r="EE2" s="90"/>
      <c r="EF2" s="91" t="s">
        <v>27</v>
      </c>
      <c r="EG2" s="89"/>
      <c r="EH2" s="90"/>
      <c r="EI2" s="90"/>
      <c r="EJ2" s="90"/>
      <c r="EK2" s="91" t="s">
        <v>28</v>
      </c>
      <c r="EL2" s="89"/>
      <c r="EM2" s="90"/>
      <c r="EN2" s="90"/>
      <c r="EO2" s="90"/>
      <c r="EP2" s="91" t="s">
        <v>29</v>
      </c>
      <c r="EQ2" s="89"/>
      <c r="ER2" s="90"/>
      <c r="ES2" s="90"/>
      <c r="ET2" s="90"/>
      <c r="EU2" s="91" t="s">
        <v>30</v>
      </c>
      <c r="EV2" s="89"/>
      <c r="EW2" s="90"/>
      <c r="EX2" s="90"/>
      <c r="EY2" s="90"/>
      <c r="EZ2" s="91" t="s">
        <v>31</v>
      </c>
      <c r="FA2" s="89"/>
      <c r="FB2" s="90"/>
      <c r="FC2" s="90"/>
      <c r="FD2" s="90"/>
      <c r="FE2" s="91" t="s">
        <v>32</v>
      </c>
      <c r="FF2" s="89"/>
      <c r="FG2" s="90"/>
      <c r="FH2" s="90"/>
      <c r="FI2" s="90"/>
      <c r="FJ2" s="91" t="s">
        <v>33</v>
      </c>
      <c r="FK2" s="89"/>
      <c r="FL2" s="90"/>
      <c r="FM2" s="90"/>
      <c r="FN2" s="90"/>
      <c r="FO2" s="91" t="s">
        <v>34</v>
      </c>
      <c r="FP2" s="89"/>
      <c r="FQ2" s="90"/>
      <c r="FR2" s="90"/>
      <c r="FS2" s="90"/>
      <c r="FT2" s="91" t="s">
        <v>35</v>
      </c>
      <c r="FU2" s="89"/>
      <c r="FV2" s="90"/>
      <c r="FW2" s="90"/>
      <c r="FX2" s="90"/>
      <c r="FY2" s="91" t="s">
        <v>36</v>
      </c>
      <c r="FZ2" s="89"/>
      <c r="GA2" s="90"/>
      <c r="GB2" s="90"/>
      <c r="GC2" s="90"/>
      <c r="GD2" s="91" t="s">
        <v>37</v>
      </c>
      <c r="GE2" s="89"/>
      <c r="GF2" s="90"/>
      <c r="GG2" s="90"/>
      <c r="GH2" s="90"/>
      <c r="GI2" s="91" t="s">
        <v>38</v>
      </c>
      <c r="GJ2" s="89"/>
      <c r="GK2" s="90"/>
      <c r="GL2" s="90"/>
      <c r="GM2" s="90"/>
      <c r="GN2" s="91" t="s">
        <v>39</v>
      </c>
      <c r="GO2" s="89"/>
      <c r="GP2" s="90"/>
      <c r="GQ2" s="90"/>
      <c r="GR2" s="90"/>
      <c r="GS2" s="91" t="s">
        <v>40</v>
      </c>
      <c r="GT2" s="89"/>
      <c r="GU2" s="90"/>
      <c r="GV2" s="90"/>
      <c r="GW2" s="90"/>
      <c r="GX2" s="91" t="s">
        <v>41</v>
      </c>
      <c r="GY2" s="89"/>
      <c r="GZ2" s="90"/>
      <c r="HA2" s="90"/>
      <c r="HB2" s="90"/>
      <c r="HC2" s="91" t="s">
        <v>42</v>
      </c>
      <c r="HD2" s="89"/>
      <c r="HE2" s="90"/>
      <c r="HF2" s="90"/>
      <c r="HG2" s="90"/>
      <c r="HH2" s="91" t="s">
        <v>43</v>
      </c>
      <c r="HI2" s="89"/>
      <c r="HJ2" s="90"/>
      <c r="HK2" s="90"/>
      <c r="HL2" s="90"/>
      <c r="HM2" s="91" t="s">
        <v>44</v>
      </c>
      <c r="HN2" s="89"/>
      <c r="HO2" s="90"/>
      <c r="HP2" s="90"/>
      <c r="HQ2" s="90"/>
      <c r="HR2" s="91" t="s">
        <v>45</v>
      </c>
      <c r="HS2" s="89"/>
      <c r="HT2" s="90"/>
      <c r="HU2" s="90"/>
      <c r="HV2" s="90"/>
      <c r="HW2" s="91" t="s">
        <v>46</v>
      </c>
      <c r="HX2" s="89"/>
      <c r="HY2" s="90"/>
      <c r="HZ2" s="90"/>
      <c r="IA2" s="90"/>
      <c r="IB2" s="91" t="s">
        <v>47</v>
      </c>
      <c r="IC2" s="89"/>
      <c r="ID2" s="90"/>
      <c r="IE2" s="90"/>
      <c r="IF2" s="90"/>
      <c r="IG2" s="303" t="s">
        <v>48</v>
      </c>
      <c r="IH2" s="89"/>
      <c r="II2" s="90"/>
      <c r="IJ2" s="90"/>
      <c r="IK2" s="90"/>
      <c r="IL2" s="61"/>
    </row>
    <row r="3" spans="1:246" ht="12" customHeight="1" thickBot="1">
      <c r="A3" s="161" t="s">
        <v>49</v>
      </c>
      <c r="B3" s="59"/>
      <c r="C3" s="2"/>
      <c r="D3" s="2"/>
      <c r="E3" s="2"/>
      <c r="F3" s="48"/>
      <c r="H3" s="47" t="s">
        <v>50</v>
      </c>
      <c r="I3" s="26"/>
      <c r="J3" s="46" t="str">
        <f>IF(CG49=0,"ja","nein")</f>
        <v>nein</v>
      </c>
      <c r="L3" s="25" t="s">
        <v>51</v>
      </c>
      <c r="M3" s="26"/>
      <c r="N3" s="46" t="str">
        <f>IF(CI49=0,"ja","nein")</f>
        <v>nein</v>
      </c>
      <c r="P3" s="25" t="s">
        <v>52</v>
      </c>
      <c r="Q3" s="26"/>
      <c r="R3" s="46" t="str">
        <f>IF(CK49=0,"ja","nein")</f>
        <v>ja</v>
      </c>
      <c r="T3" s="25" t="s">
        <v>53</v>
      </c>
      <c r="U3" s="26"/>
      <c r="V3" s="46" t="str">
        <f>IF(CM49=0,"ja","nein")</f>
        <v>nein</v>
      </c>
      <c r="X3" s="83"/>
      <c r="Y3" s="3"/>
      <c r="Z3" s="54" t="s">
        <v>54</v>
      </c>
      <c r="AA3" s="17" t="s">
        <v>55</v>
      </c>
      <c r="AB3" s="53" t="s">
        <v>56</v>
      </c>
      <c r="AC3" s="84" t="s">
        <v>57</v>
      </c>
      <c r="AD3" s="84" t="s">
        <v>58</v>
      </c>
      <c r="AE3" s="54" t="s">
        <v>54</v>
      </c>
      <c r="AF3" s="17" t="s">
        <v>55</v>
      </c>
      <c r="AG3" s="53" t="s">
        <v>56</v>
      </c>
      <c r="AH3" s="84" t="s">
        <v>57</v>
      </c>
      <c r="AI3" s="84" t="s">
        <v>58</v>
      </c>
      <c r="AJ3" s="54" t="s">
        <v>54</v>
      </c>
      <c r="AK3" s="17" t="s">
        <v>55</v>
      </c>
      <c r="AL3" s="53" t="s">
        <v>56</v>
      </c>
      <c r="AM3" s="84" t="s">
        <v>57</v>
      </c>
      <c r="AN3" s="84" t="s">
        <v>58</v>
      </c>
      <c r="AO3" s="54" t="s">
        <v>54</v>
      </c>
      <c r="AP3" s="17" t="s">
        <v>55</v>
      </c>
      <c r="AQ3" s="53" t="s">
        <v>56</v>
      </c>
      <c r="AR3" s="84" t="s">
        <v>57</v>
      </c>
      <c r="AS3" s="84" t="s">
        <v>58</v>
      </c>
      <c r="AT3" s="54" t="s">
        <v>54</v>
      </c>
      <c r="AU3" s="17" t="s">
        <v>55</v>
      </c>
      <c r="AV3" s="53" t="s">
        <v>56</v>
      </c>
      <c r="AW3" s="84" t="s">
        <v>57</v>
      </c>
      <c r="AX3" s="84" t="s">
        <v>58</v>
      </c>
      <c r="AY3" s="54" t="s">
        <v>54</v>
      </c>
      <c r="AZ3" s="17" t="s">
        <v>55</v>
      </c>
      <c r="BA3" s="53" t="s">
        <v>56</v>
      </c>
      <c r="BB3" s="84" t="s">
        <v>57</v>
      </c>
      <c r="BC3" s="84" t="s">
        <v>58</v>
      </c>
      <c r="BD3" s="54" t="s">
        <v>54</v>
      </c>
      <c r="BE3" s="17" t="s">
        <v>55</v>
      </c>
      <c r="BF3" s="53" t="s">
        <v>56</v>
      </c>
      <c r="BG3" s="84" t="s">
        <v>57</v>
      </c>
      <c r="BH3" s="84" t="s">
        <v>58</v>
      </c>
      <c r="BI3" s="54" t="s">
        <v>54</v>
      </c>
      <c r="BJ3" s="17" t="s">
        <v>55</v>
      </c>
      <c r="BK3" s="53" t="s">
        <v>56</v>
      </c>
      <c r="BL3" s="84" t="s">
        <v>57</v>
      </c>
      <c r="BM3" s="84" t="s">
        <v>58</v>
      </c>
      <c r="BN3" s="54" t="s">
        <v>54</v>
      </c>
      <c r="BO3" s="17" t="s">
        <v>55</v>
      </c>
      <c r="BP3" s="53" t="s">
        <v>56</v>
      </c>
      <c r="BQ3" s="84" t="s">
        <v>57</v>
      </c>
      <c r="BR3" s="84" t="s">
        <v>58</v>
      </c>
      <c r="BS3" s="54" t="s">
        <v>54</v>
      </c>
      <c r="BT3" s="17" t="s">
        <v>55</v>
      </c>
      <c r="BU3" s="53" t="s">
        <v>56</v>
      </c>
      <c r="BV3" s="84" t="s">
        <v>57</v>
      </c>
      <c r="BW3" s="84" t="s">
        <v>58</v>
      </c>
      <c r="BX3" s="54" t="s">
        <v>54</v>
      </c>
      <c r="BY3" s="17" t="s">
        <v>55</v>
      </c>
      <c r="BZ3" s="53" t="s">
        <v>56</v>
      </c>
      <c r="CA3" s="84" t="s">
        <v>57</v>
      </c>
      <c r="CB3" s="84" t="s">
        <v>58</v>
      </c>
      <c r="CC3" s="54" t="s">
        <v>54</v>
      </c>
      <c r="CD3" s="17" t="s">
        <v>55</v>
      </c>
      <c r="CE3" s="53" t="s">
        <v>56</v>
      </c>
      <c r="CF3" s="84" t="s">
        <v>57</v>
      </c>
      <c r="CG3" s="84" t="s">
        <v>58</v>
      </c>
      <c r="CH3" s="54" t="s">
        <v>54</v>
      </c>
      <c r="CI3" s="17" t="s">
        <v>55</v>
      </c>
      <c r="CJ3" s="53" t="s">
        <v>56</v>
      </c>
      <c r="CK3" s="84" t="s">
        <v>57</v>
      </c>
      <c r="CL3" s="84" t="s">
        <v>58</v>
      </c>
      <c r="CM3" s="54" t="s">
        <v>54</v>
      </c>
      <c r="CN3" s="17" t="s">
        <v>55</v>
      </c>
      <c r="CO3" s="53" t="s">
        <v>56</v>
      </c>
      <c r="CP3" s="84" t="s">
        <v>57</v>
      </c>
      <c r="CQ3" s="84" t="s">
        <v>58</v>
      </c>
      <c r="CR3" s="54" t="s">
        <v>54</v>
      </c>
      <c r="CS3" s="17" t="s">
        <v>55</v>
      </c>
      <c r="CT3" s="53" t="s">
        <v>56</v>
      </c>
      <c r="CU3" s="84" t="s">
        <v>57</v>
      </c>
      <c r="CV3" s="84" t="s">
        <v>58</v>
      </c>
      <c r="CW3" s="54" t="s">
        <v>54</v>
      </c>
      <c r="CX3" s="17" t="s">
        <v>55</v>
      </c>
      <c r="CY3" s="53" t="s">
        <v>56</v>
      </c>
      <c r="CZ3" s="84" t="s">
        <v>57</v>
      </c>
      <c r="DA3" s="84" t="s">
        <v>58</v>
      </c>
      <c r="DB3" s="54" t="s">
        <v>54</v>
      </c>
      <c r="DC3" s="17" t="s">
        <v>55</v>
      </c>
      <c r="DD3" s="53" t="s">
        <v>56</v>
      </c>
      <c r="DE3" s="84" t="s">
        <v>57</v>
      </c>
      <c r="DF3" s="84" t="s">
        <v>58</v>
      </c>
      <c r="DG3" s="54" t="s">
        <v>54</v>
      </c>
      <c r="DH3" s="17" t="s">
        <v>55</v>
      </c>
      <c r="DI3" s="53" t="s">
        <v>56</v>
      </c>
      <c r="DJ3" s="84" t="s">
        <v>57</v>
      </c>
      <c r="DK3" s="84" t="s">
        <v>58</v>
      </c>
      <c r="DL3" s="54" t="s">
        <v>54</v>
      </c>
      <c r="DM3" s="17" t="s">
        <v>55</v>
      </c>
      <c r="DN3" s="53" t="s">
        <v>56</v>
      </c>
      <c r="DO3" s="84" t="s">
        <v>57</v>
      </c>
      <c r="DP3" s="84" t="s">
        <v>58</v>
      </c>
      <c r="DQ3" s="54" t="s">
        <v>54</v>
      </c>
      <c r="DR3" s="17" t="s">
        <v>55</v>
      </c>
      <c r="DS3" s="53" t="s">
        <v>56</v>
      </c>
      <c r="DT3" s="84" t="s">
        <v>57</v>
      </c>
      <c r="DU3" s="84" t="s">
        <v>58</v>
      </c>
      <c r="DV3" s="54" t="s">
        <v>54</v>
      </c>
      <c r="DW3" s="17" t="s">
        <v>55</v>
      </c>
      <c r="DX3" s="53" t="s">
        <v>56</v>
      </c>
      <c r="DY3" s="84" t="s">
        <v>57</v>
      </c>
      <c r="DZ3" s="84" t="s">
        <v>58</v>
      </c>
      <c r="EA3" s="54" t="s">
        <v>54</v>
      </c>
      <c r="EB3" s="17" t="s">
        <v>55</v>
      </c>
      <c r="EC3" s="53" t="s">
        <v>56</v>
      </c>
      <c r="ED3" s="84" t="s">
        <v>57</v>
      </c>
      <c r="EE3" s="84" t="s">
        <v>58</v>
      </c>
      <c r="EF3" s="54" t="s">
        <v>54</v>
      </c>
      <c r="EG3" s="17" t="s">
        <v>55</v>
      </c>
      <c r="EH3" s="53" t="s">
        <v>56</v>
      </c>
      <c r="EI3" s="84" t="s">
        <v>57</v>
      </c>
      <c r="EJ3" s="84" t="s">
        <v>58</v>
      </c>
      <c r="EK3" s="54" t="s">
        <v>54</v>
      </c>
      <c r="EL3" s="17" t="s">
        <v>55</v>
      </c>
      <c r="EM3" s="53" t="s">
        <v>56</v>
      </c>
      <c r="EN3" s="84" t="s">
        <v>57</v>
      </c>
      <c r="EO3" s="84" t="s">
        <v>58</v>
      </c>
      <c r="EP3" s="54" t="s">
        <v>54</v>
      </c>
      <c r="EQ3" s="17" t="s">
        <v>55</v>
      </c>
      <c r="ER3" s="53" t="s">
        <v>56</v>
      </c>
      <c r="ES3" s="84" t="s">
        <v>57</v>
      </c>
      <c r="ET3" s="84" t="s">
        <v>58</v>
      </c>
      <c r="EU3" s="54" t="s">
        <v>54</v>
      </c>
      <c r="EV3" s="17" t="s">
        <v>55</v>
      </c>
      <c r="EW3" s="53" t="s">
        <v>56</v>
      </c>
      <c r="EX3" s="84" t="s">
        <v>57</v>
      </c>
      <c r="EY3" s="84" t="s">
        <v>58</v>
      </c>
      <c r="EZ3" s="54" t="s">
        <v>54</v>
      </c>
      <c r="FA3" s="17" t="s">
        <v>55</v>
      </c>
      <c r="FB3" s="53" t="s">
        <v>56</v>
      </c>
      <c r="FC3" s="84" t="s">
        <v>57</v>
      </c>
      <c r="FD3" s="84" t="s">
        <v>58</v>
      </c>
      <c r="FE3" s="54" t="s">
        <v>54</v>
      </c>
      <c r="FF3" s="17" t="s">
        <v>55</v>
      </c>
      <c r="FG3" s="53" t="s">
        <v>56</v>
      </c>
      <c r="FH3" s="84" t="s">
        <v>57</v>
      </c>
      <c r="FI3" s="84" t="s">
        <v>58</v>
      </c>
      <c r="FJ3" s="54" t="s">
        <v>54</v>
      </c>
      <c r="FK3" s="17" t="s">
        <v>55</v>
      </c>
      <c r="FL3" s="53" t="s">
        <v>56</v>
      </c>
      <c r="FM3" s="84" t="s">
        <v>57</v>
      </c>
      <c r="FN3" s="84" t="s">
        <v>58</v>
      </c>
      <c r="FO3" s="54" t="s">
        <v>54</v>
      </c>
      <c r="FP3" s="17" t="s">
        <v>55</v>
      </c>
      <c r="FQ3" s="53" t="s">
        <v>56</v>
      </c>
      <c r="FR3" s="84" t="s">
        <v>57</v>
      </c>
      <c r="FS3" s="84" t="s">
        <v>58</v>
      </c>
      <c r="FT3" s="54" t="s">
        <v>54</v>
      </c>
      <c r="FU3" s="17" t="s">
        <v>55</v>
      </c>
      <c r="FV3" s="53" t="s">
        <v>56</v>
      </c>
      <c r="FW3" s="84" t="s">
        <v>57</v>
      </c>
      <c r="FX3" s="84" t="s">
        <v>58</v>
      </c>
      <c r="FY3" s="54" t="s">
        <v>54</v>
      </c>
      <c r="FZ3" s="17" t="s">
        <v>55</v>
      </c>
      <c r="GA3" s="53" t="s">
        <v>56</v>
      </c>
      <c r="GB3" s="84" t="s">
        <v>57</v>
      </c>
      <c r="GC3" s="84" t="s">
        <v>58</v>
      </c>
      <c r="GD3" s="54" t="s">
        <v>54</v>
      </c>
      <c r="GE3" s="17" t="s">
        <v>55</v>
      </c>
      <c r="GF3" s="53" t="s">
        <v>56</v>
      </c>
      <c r="GG3" s="84" t="s">
        <v>57</v>
      </c>
      <c r="GH3" s="84" t="s">
        <v>58</v>
      </c>
      <c r="GI3" s="54" t="s">
        <v>54</v>
      </c>
      <c r="GJ3" s="17" t="s">
        <v>55</v>
      </c>
      <c r="GK3" s="53" t="s">
        <v>56</v>
      </c>
      <c r="GL3" s="84" t="s">
        <v>57</v>
      </c>
      <c r="GM3" s="84" t="s">
        <v>58</v>
      </c>
      <c r="GN3" s="54" t="s">
        <v>54</v>
      </c>
      <c r="GO3" s="17" t="s">
        <v>55</v>
      </c>
      <c r="GP3" s="53" t="s">
        <v>56</v>
      </c>
      <c r="GQ3" s="84" t="s">
        <v>57</v>
      </c>
      <c r="GR3" s="84" t="s">
        <v>58</v>
      </c>
      <c r="GS3" s="54" t="s">
        <v>54</v>
      </c>
      <c r="GT3" s="17" t="s">
        <v>55</v>
      </c>
      <c r="GU3" s="53" t="s">
        <v>56</v>
      </c>
      <c r="GV3" s="84" t="s">
        <v>57</v>
      </c>
      <c r="GW3" s="84" t="s">
        <v>58</v>
      </c>
      <c r="GX3" s="54" t="s">
        <v>54</v>
      </c>
      <c r="GY3" s="17" t="s">
        <v>55</v>
      </c>
      <c r="GZ3" s="53" t="s">
        <v>56</v>
      </c>
      <c r="HA3" s="84" t="s">
        <v>57</v>
      </c>
      <c r="HB3" s="84" t="s">
        <v>58</v>
      </c>
      <c r="HC3" s="54" t="s">
        <v>54</v>
      </c>
      <c r="HD3" s="17" t="s">
        <v>55</v>
      </c>
      <c r="HE3" s="53" t="s">
        <v>56</v>
      </c>
      <c r="HF3" s="84" t="s">
        <v>57</v>
      </c>
      <c r="HG3" s="84" t="s">
        <v>58</v>
      </c>
      <c r="HH3" s="54" t="s">
        <v>54</v>
      </c>
      <c r="HI3" s="17" t="s">
        <v>55</v>
      </c>
      <c r="HJ3" s="53" t="s">
        <v>56</v>
      </c>
      <c r="HK3" s="84" t="s">
        <v>57</v>
      </c>
      <c r="HL3" s="84" t="s">
        <v>58</v>
      </c>
      <c r="HM3" s="54" t="s">
        <v>54</v>
      </c>
      <c r="HN3" s="17" t="s">
        <v>55</v>
      </c>
      <c r="HO3" s="53" t="s">
        <v>56</v>
      </c>
      <c r="HP3" s="84" t="s">
        <v>57</v>
      </c>
      <c r="HQ3" s="84" t="s">
        <v>58</v>
      </c>
      <c r="HR3" s="54" t="s">
        <v>54</v>
      </c>
      <c r="HS3" s="17" t="s">
        <v>55</v>
      </c>
      <c r="HT3" s="53" t="s">
        <v>56</v>
      </c>
      <c r="HU3" s="84" t="s">
        <v>57</v>
      </c>
      <c r="HV3" s="84" t="s">
        <v>58</v>
      </c>
      <c r="HW3" s="54" t="s">
        <v>54</v>
      </c>
      <c r="HX3" s="17" t="s">
        <v>55</v>
      </c>
      <c r="HY3" s="53" t="s">
        <v>56</v>
      </c>
      <c r="HZ3" s="88" t="s">
        <v>57</v>
      </c>
      <c r="IA3" s="84" t="s">
        <v>58</v>
      </c>
      <c r="IB3" s="54" t="s">
        <v>54</v>
      </c>
      <c r="IC3" s="17" t="s">
        <v>55</v>
      </c>
      <c r="ID3" s="53" t="s">
        <v>56</v>
      </c>
      <c r="IE3" s="88" t="s">
        <v>57</v>
      </c>
      <c r="IF3" s="84" t="s">
        <v>58</v>
      </c>
      <c r="IG3" s="54" t="s">
        <v>54</v>
      </c>
      <c r="IH3" s="17" t="s">
        <v>55</v>
      </c>
      <c r="II3" s="53" t="s">
        <v>56</v>
      </c>
      <c r="IJ3" s="88" t="s">
        <v>57</v>
      </c>
      <c r="IK3" s="84" t="s">
        <v>58</v>
      </c>
      <c r="IL3" s="61"/>
    </row>
    <row r="4" spans="1:246" ht="3.75" customHeight="1" thickBot="1" thickTop="1">
      <c r="A4" s="60"/>
      <c r="B4" s="3"/>
      <c r="C4" s="3"/>
      <c r="D4" s="3"/>
      <c r="E4" s="3"/>
      <c r="F4" s="61"/>
      <c r="X4" s="83"/>
      <c r="Y4" s="3"/>
      <c r="Z4" s="55"/>
      <c r="AA4" s="6"/>
      <c r="AB4" s="16"/>
      <c r="AC4" s="3"/>
      <c r="AD4" s="3"/>
      <c r="AE4" s="55"/>
      <c r="AF4" s="6"/>
      <c r="AG4" s="16"/>
      <c r="AH4" s="3"/>
      <c r="AI4" s="3"/>
      <c r="AJ4" s="55"/>
      <c r="AK4" s="6"/>
      <c r="AL4" s="16"/>
      <c r="AM4" s="3"/>
      <c r="AN4" s="3"/>
      <c r="AO4" s="55"/>
      <c r="AP4" s="6"/>
      <c r="AQ4" s="16"/>
      <c r="AR4" s="3"/>
      <c r="AS4" s="3"/>
      <c r="AT4" s="55"/>
      <c r="AU4" s="6"/>
      <c r="AV4" s="16"/>
      <c r="AW4" s="3"/>
      <c r="AX4" s="3"/>
      <c r="AY4" s="55"/>
      <c r="AZ4" s="6"/>
      <c r="BA4" s="16"/>
      <c r="BB4" s="3"/>
      <c r="BC4" s="3"/>
      <c r="BD4" s="55"/>
      <c r="BE4" s="6"/>
      <c r="BF4" s="16"/>
      <c r="BG4" s="3"/>
      <c r="BH4" s="3"/>
      <c r="BI4" s="55"/>
      <c r="BJ4" s="6"/>
      <c r="BK4" s="16"/>
      <c r="BL4" s="3"/>
      <c r="BM4" s="3"/>
      <c r="BN4" s="55"/>
      <c r="BO4" s="6"/>
      <c r="BP4" s="16"/>
      <c r="BQ4" s="3"/>
      <c r="BR4" s="3"/>
      <c r="BS4" s="55"/>
      <c r="BT4" s="6"/>
      <c r="BU4" s="16"/>
      <c r="BV4" s="3"/>
      <c r="BW4" s="3"/>
      <c r="BX4" s="55"/>
      <c r="BY4" s="6"/>
      <c r="BZ4" s="16"/>
      <c r="CA4" s="3"/>
      <c r="CB4" s="3"/>
      <c r="CC4" s="55"/>
      <c r="CD4" s="6"/>
      <c r="CE4" s="16"/>
      <c r="CF4" s="3"/>
      <c r="CG4" s="3"/>
      <c r="CH4" s="55"/>
      <c r="CI4" s="6"/>
      <c r="CJ4" s="16"/>
      <c r="CK4" s="3"/>
      <c r="CL4" s="3"/>
      <c r="CM4" s="55"/>
      <c r="CN4" s="6"/>
      <c r="CO4" s="16"/>
      <c r="CP4" s="3"/>
      <c r="CQ4" s="3"/>
      <c r="CR4" s="55"/>
      <c r="CS4" s="6"/>
      <c r="CT4" s="16"/>
      <c r="CU4" s="3"/>
      <c r="CV4" s="3"/>
      <c r="CW4" s="55"/>
      <c r="CX4" s="6"/>
      <c r="CY4" s="16"/>
      <c r="CZ4" s="3"/>
      <c r="DA4" s="3"/>
      <c r="DB4" s="55"/>
      <c r="DC4" s="6"/>
      <c r="DD4" s="16"/>
      <c r="DE4" s="3"/>
      <c r="DF4" s="3"/>
      <c r="DG4" s="55"/>
      <c r="DH4" s="6"/>
      <c r="DI4" s="16"/>
      <c r="DJ4" s="3"/>
      <c r="DK4" s="3"/>
      <c r="DL4" s="55"/>
      <c r="DM4" s="6"/>
      <c r="DN4" s="16"/>
      <c r="DO4" s="3"/>
      <c r="DP4" s="3"/>
      <c r="DQ4" s="55"/>
      <c r="DR4" s="6"/>
      <c r="DS4" s="16"/>
      <c r="DT4" s="3"/>
      <c r="DU4" s="3"/>
      <c r="DV4" s="55"/>
      <c r="DW4" s="6"/>
      <c r="DX4" s="16"/>
      <c r="DY4" s="3"/>
      <c r="DZ4" s="3"/>
      <c r="EA4" s="55"/>
      <c r="EB4" s="6"/>
      <c r="EC4" s="16"/>
      <c r="ED4" s="3"/>
      <c r="EE4" s="3"/>
      <c r="EF4" s="55"/>
      <c r="EG4" s="6"/>
      <c r="EH4" s="16"/>
      <c r="EI4" s="3"/>
      <c r="EJ4" s="3"/>
      <c r="EK4" s="55"/>
      <c r="EL4" s="6"/>
      <c r="EM4" s="16"/>
      <c r="EN4" s="3"/>
      <c r="EO4" s="3"/>
      <c r="EP4" s="55"/>
      <c r="EQ4" s="6"/>
      <c r="ER4" s="16"/>
      <c r="ES4" s="3"/>
      <c r="ET4" s="3"/>
      <c r="EU4" s="55"/>
      <c r="EV4" s="6"/>
      <c r="EW4" s="16"/>
      <c r="EX4" s="3"/>
      <c r="EY4" s="3"/>
      <c r="EZ4" s="55"/>
      <c r="FA4" s="6"/>
      <c r="FB4" s="16"/>
      <c r="FC4" s="3"/>
      <c r="FD4" s="3"/>
      <c r="FE4" s="55"/>
      <c r="FF4" s="6"/>
      <c r="FG4" s="16"/>
      <c r="FH4" s="3"/>
      <c r="FI4" s="3"/>
      <c r="FJ4" s="55"/>
      <c r="FK4" s="6"/>
      <c r="FL4" s="16"/>
      <c r="FM4" s="3"/>
      <c r="FN4" s="3"/>
      <c r="FO4" s="55"/>
      <c r="FP4" s="6"/>
      <c r="FQ4" s="16"/>
      <c r="FR4" s="3"/>
      <c r="FS4" s="3"/>
      <c r="FT4" s="55"/>
      <c r="FU4" s="6"/>
      <c r="FV4" s="16"/>
      <c r="FW4" s="3"/>
      <c r="FX4" s="3"/>
      <c r="FY4" s="55"/>
      <c r="FZ4" s="6"/>
      <c r="GA4" s="16"/>
      <c r="GB4" s="3"/>
      <c r="GC4" s="3"/>
      <c r="GD4" s="55"/>
      <c r="GE4" s="6"/>
      <c r="GF4" s="16"/>
      <c r="GG4" s="3"/>
      <c r="GH4" s="3"/>
      <c r="GI4" s="55"/>
      <c r="GJ4" s="6"/>
      <c r="GK4" s="16"/>
      <c r="GL4" s="3"/>
      <c r="GM4" s="3"/>
      <c r="GN4" s="55"/>
      <c r="GO4" s="6"/>
      <c r="GP4" s="16"/>
      <c r="GQ4" s="3"/>
      <c r="GR4" s="3"/>
      <c r="GS4" s="55"/>
      <c r="GT4" s="6"/>
      <c r="GU4" s="16"/>
      <c r="GV4" s="3"/>
      <c r="GW4" s="3"/>
      <c r="GX4" s="55"/>
      <c r="GY4" s="6"/>
      <c r="GZ4" s="16"/>
      <c r="HA4" s="3"/>
      <c r="HB4" s="3"/>
      <c r="HC4" s="55"/>
      <c r="HD4" s="6"/>
      <c r="HE4" s="16"/>
      <c r="HF4" s="3"/>
      <c r="HG4" s="3"/>
      <c r="HH4" s="55"/>
      <c r="HI4" s="6"/>
      <c r="HJ4" s="16"/>
      <c r="HK4" s="3"/>
      <c r="HL4" s="3"/>
      <c r="HM4" s="55"/>
      <c r="HN4" s="6"/>
      <c r="HO4" s="16"/>
      <c r="HP4" s="3"/>
      <c r="HQ4" s="3"/>
      <c r="HR4" s="55"/>
      <c r="HS4" s="6"/>
      <c r="HT4" s="16"/>
      <c r="HU4" s="3"/>
      <c r="HV4" s="3"/>
      <c r="HW4" s="55"/>
      <c r="HX4" s="6"/>
      <c r="HY4" s="16"/>
      <c r="HZ4" s="6"/>
      <c r="IA4" s="3"/>
      <c r="IB4" s="55"/>
      <c r="IC4" s="6"/>
      <c r="ID4" s="16"/>
      <c r="IE4" s="6"/>
      <c r="IF4" s="3"/>
      <c r="IG4" s="55"/>
      <c r="IH4" s="6"/>
      <c r="II4" s="16"/>
      <c r="IJ4" s="6"/>
      <c r="IK4" s="3"/>
      <c r="IL4" s="61"/>
    </row>
    <row r="5" spans="1:246" ht="12" customHeight="1" thickBot="1">
      <c r="A5" s="60"/>
      <c r="B5" s="120" t="s">
        <v>59</v>
      </c>
      <c r="C5" s="121" t="s">
        <v>60</v>
      </c>
      <c r="D5" s="121" t="s">
        <v>61</v>
      </c>
      <c r="E5" s="121" t="s">
        <v>62</v>
      </c>
      <c r="F5" s="61"/>
      <c r="H5" s="202" t="s">
        <v>63</v>
      </c>
      <c r="I5" s="203"/>
      <c r="J5" s="204" t="s">
        <v>64</v>
      </c>
      <c r="K5" s="34"/>
      <c r="L5" s="202" t="s">
        <v>63</v>
      </c>
      <c r="M5" s="203"/>
      <c r="N5" s="204" t="s">
        <v>64</v>
      </c>
      <c r="O5" s="34"/>
      <c r="P5" s="202" t="s">
        <v>63</v>
      </c>
      <c r="Q5" s="203"/>
      <c r="R5" s="204" t="s">
        <v>64</v>
      </c>
      <c r="S5" s="34"/>
      <c r="T5" s="202" t="s">
        <v>63</v>
      </c>
      <c r="U5" s="203"/>
      <c r="V5" s="204" t="s">
        <v>64</v>
      </c>
      <c r="X5" s="83"/>
      <c r="Y5" s="127" t="str">
        <f aca="true" t="shared" si="0" ref="Y5:Y14">B37</f>
        <v>Na</v>
      </c>
      <c r="Z5" s="56">
        <v>-1E-05</v>
      </c>
      <c r="AA5" s="33">
        <v>1</v>
      </c>
      <c r="AB5" s="52">
        <f>IF($C$37&gt;Z5,IF($C$37&lt;AA5,0,1),1)</f>
        <v>0</v>
      </c>
      <c r="AC5" s="52">
        <f>IF($C$37&gt;(Z5-Z5/100*$M$35),IF($C$37&lt;(AA5+AA5/100*$M$35),0,1),1)</f>
        <v>0</v>
      </c>
      <c r="AD5" s="29">
        <f>IF($C$37&gt;(Z5-Z5/100*$FF$34),IF($C$37&lt;(AA5+AA5/100*$FF$34),0,1),1)</f>
        <v>0</v>
      </c>
      <c r="AE5" s="56">
        <v>-1E-05</v>
      </c>
      <c r="AF5" s="33">
        <v>1</v>
      </c>
      <c r="AG5" s="52">
        <f>IF($C$37&gt;AE5,IF($C$37&lt;AF5,0,1),1)</f>
        <v>0</v>
      </c>
      <c r="AH5" s="52">
        <f>IF($C$37&gt;(AE5-AE5/100*$M$35),IF($C$37&lt;(AF5+AF5/100*$M$35),0,1),1)</f>
        <v>0</v>
      </c>
      <c r="AI5" s="29">
        <f>IF($C$37&gt;(AE5-AE5/100*$FF$34),IF($C$37&lt;(AF5+AF5/100*$FF$34),0,1),1)</f>
        <v>0</v>
      </c>
      <c r="AJ5" s="56">
        <v>-1E-05</v>
      </c>
      <c r="AK5" s="33">
        <v>1</v>
      </c>
      <c r="AL5" s="52">
        <f>IF($C$37&gt;AJ5,IF($C$37&lt;AK5,0,1),1)</f>
        <v>0</v>
      </c>
      <c r="AM5" s="52">
        <f>IF($C$37&gt;(AJ5-AJ5/100*$M$35),IF($C$37&lt;(AK5+AK5/100*$M$35),0,1),1)</f>
        <v>0</v>
      </c>
      <c r="AN5" s="29">
        <f>IF($C$37&gt;(AJ5-AJ5/100*$FF$34),IF($C$37&lt;(AK5+AK5/100*$FF$34),0,1),1)</f>
        <v>0</v>
      </c>
      <c r="AO5" s="56">
        <v>-1E-05</v>
      </c>
      <c r="AP5" s="33">
        <v>1</v>
      </c>
      <c r="AQ5" s="52">
        <f>IF($C$37&gt;AO5,IF($C$37&lt;AP5,0,1),1)</f>
        <v>0</v>
      </c>
      <c r="AR5" s="52">
        <f>IF($C$37&gt;(AO5-AO5/100*$M$35),IF($C$37&lt;(AP5+AP5/100*$M$35),0,1),1)</f>
        <v>0</v>
      </c>
      <c r="AS5" s="29">
        <f>IF($C$37&gt;(AO5-AO5/100*$FF$34),IF($C$37&lt;(AP5+AP5/100*$FF$34),0,1),1)</f>
        <v>0</v>
      </c>
      <c r="AT5" s="56">
        <v>-1E-05</v>
      </c>
      <c r="AU5" s="33">
        <v>1</v>
      </c>
      <c r="AV5" s="52">
        <f>IF($C$37&gt;AT5,IF($C$37&lt;AU5,0,1),1)</f>
        <v>0</v>
      </c>
      <c r="AW5" s="52">
        <f>IF($C$37&gt;(AT5-AT5/100*$M$35),IF($C$37&lt;(AU5+AU5/100*$M$35),0,1),1)</f>
        <v>0</v>
      </c>
      <c r="AX5" s="29">
        <f>IF($C$37&gt;(AT5-AT5/100*$FF$34),IF($C$37&lt;(AU5+AU5/100*$FF$34),0,1),1)</f>
        <v>0</v>
      </c>
      <c r="AY5" s="56">
        <v>2.5</v>
      </c>
      <c r="AZ5" s="33">
        <v>8</v>
      </c>
      <c r="BA5" s="52">
        <f>IF($C$37&gt;AY5,IF($C$37&lt;AZ5,0,1),1)</f>
        <v>1</v>
      </c>
      <c r="BB5" s="52">
        <f>IF($C$37&gt;(AY5-AY5/100*$M$35),IF($C$37&lt;(AZ5+AZ5/100*$M$35),0,1),1)</f>
        <v>1</v>
      </c>
      <c r="BC5" s="29">
        <f>IF($C$37&gt;(AY5-AY5/100*$FF$34),IF($C$37&lt;(AZ5+AZ5/100*$FF$34),0,1),1)</f>
        <v>1</v>
      </c>
      <c r="BD5" s="56">
        <v>-1E-05</v>
      </c>
      <c r="BE5" s="33">
        <v>1</v>
      </c>
      <c r="BF5" s="52">
        <f>IF($C$37&gt;BD5,IF($C$37&lt;BE5,0,1),1)</f>
        <v>0</v>
      </c>
      <c r="BG5" s="52">
        <f>IF($C$37&gt;(BD5-BD5/100*$M$35),IF($C$37&lt;(BE5+BE5/100*$M$35),0,1),1)</f>
        <v>0</v>
      </c>
      <c r="BH5" s="29">
        <f>IF($C$37&gt;(BD5-BD5/100*$FF$34),IF($C$37&lt;(BE5+BE5/100*$FF$34),0,1),1)</f>
        <v>0</v>
      </c>
      <c r="BI5" s="56">
        <v>-1E-05</v>
      </c>
      <c r="BJ5" s="33">
        <v>1</v>
      </c>
      <c r="BK5" s="52">
        <f>IF($C$37&gt;BI5,IF($C$37&lt;BJ5,0,1),1)</f>
        <v>0</v>
      </c>
      <c r="BL5" s="52">
        <f>IF($C$37&gt;(BI5-BI5/100*$M$35),IF($C$37&lt;(BJ5+BJ5/100*$M$35),0,1),1)</f>
        <v>0</v>
      </c>
      <c r="BM5" s="29">
        <f>IF($C$37&gt;(BI5-BI5/100*$FF$34),IF($C$37&lt;(BJ5+BJ5/100*$FF$34),0,1),1)</f>
        <v>0</v>
      </c>
      <c r="BN5" s="56">
        <v>-1E-05</v>
      </c>
      <c r="BO5" s="33">
        <v>1</v>
      </c>
      <c r="BP5" s="52">
        <f>IF($C$37&gt;BN5,IF($C$37&lt;BO5,0,1),1)</f>
        <v>0</v>
      </c>
      <c r="BQ5" s="52">
        <f>IF($C$37&gt;(BN5-BN5/100*$M$35),IF($C$37&lt;(BO5+BO5/100*$M$35),0,1),1)</f>
        <v>0</v>
      </c>
      <c r="BR5" s="29">
        <f>IF($C$37&gt;(BN5-BN5/100*$FF$34),IF($C$37&lt;(BO5+BO5/100*$FF$34),0,1),1)</f>
        <v>0</v>
      </c>
      <c r="BS5" s="56">
        <v>-1E-05</v>
      </c>
      <c r="BT5" s="33">
        <v>1</v>
      </c>
      <c r="BU5" s="52">
        <f>IF($C$37&gt;BS5,IF($C$37&lt;BT5,0,1),1)</f>
        <v>0</v>
      </c>
      <c r="BV5" s="52">
        <f>IF($C$37&gt;(BS5-BS5/100*$M$35),IF($C$37&lt;(BT5+BT5/100*$M$35),0,1),1)</f>
        <v>0</v>
      </c>
      <c r="BW5" s="29">
        <f>IF($C$37&gt;(BS5-BS5/100*$FF$34),IF($C$37&lt;(BT5+BT5/100*$FF$34),0,1),1)</f>
        <v>0</v>
      </c>
      <c r="BX5" s="56">
        <v>-1E-05</v>
      </c>
      <c r="BY5" s="33">
        <v>1</v>
      </c>
      <c r="BZ5" s="52">
        <f>IF($C$37&gt;BX5,IF($C$37&lt;BY5,0,1),1)</f>
        <v>0</v>
      </c>
      <c r="CA5" s="52">
        <f>IF($C$37&gt;(BX5-BX5/100*$M$35),IF($C$37&lt;(BY5+BY5/100*$M$35),0,1),1)</f>
        <v>0</v>
      </c>
      <c r="CB5" s="29">
        <f>IF($C$37&gt;(BX5-BX5/100*$FF$34),IF($C$37&lt;(BY5+BY5/100*$FF$34),0,1),1)</f>
        <v>0</v>
      </c>
      <c r="CC5" s="56">
        <v>-1E-05</v>
      </c>
      <c r="CD5" s="33">
        <v>1</v>
      </c>
      <c r="CE5" s="52">
        <f>IF($C$37&gt;CC5,IF($C$37&lt;CD5,0,1),1)</f>
        <v>0</v>
      </c>
      <c r="CF5" s="52">
        <f>IF($C$37&gt;(CC5-CC5/100*$M$35),IF($C$37&lt;(CD5+CD5/100*$M$35),0,1),1)</f>
        <v>0</v>
      </c>
      <c r="CG5" s="29">
        <f>IF($C$37&gt;(CC5-CC5/100*$FF$34),IF($C$37&lt;(CD5+CD5/100*$FF$34),0,1),1)</f>
        <v>0</v>
      </c>
      <c r="CH5" s="56">
        <v>-1E-05</v>
      </c>
      <c r="CI5" s="33">
        <v>1</v>
      </c>
      <c r="CJ5" s="52">
        <f>IF($C$37&gt;CH5,IF($C$37&lt;CI5,0,1),1)</f>
        <v>0</v>
      </c>
      <c r="CK5" s="52">
        <f>IF($C$37&gt;(CH5-CH5/100*$M$35),IF($C$37&lt;(CI5+CI5/100*$M$35),0,1),1)</f>
        <v>0</v>
      </c>
      <c r="CL5" s="29">
        <f>IF($C$37&gt;(CH5-CH5/100*$FF$34),IF($C$37&lt;(CI5+CI5/100*$FF$34),0,1),1)</f>
        <v>0</v>
      </c>
      <c r="CM5" s="56">
        <v>-1E-05</v>
      </c>
      <c r="CN5" s="33">
        <v>1</v>
      </c>
      <c r="CO5" s="52">
        <f>IF($C$37&gt;CM5,IF($C$37&lt;CN5,0,1),1)</f>
        <v>0</v>
      </c>
      <c r="CP5" s="52">
        <f>IF($C$37&gt;(CM5-CM5/100*$M$35),IF($C$37&lt;(CN5+CN5/100*$M$35),0,1),1)</f>
        <v>0</v>
      </c>
      <c r="CQ5" s="29">
        <f>IF($C$37&gt;(CM5-CM5/100*$FF$34),IF($C$37&lt;(CN5+CN5/100*$FF$34),0,1),1)</f>
        <v>0</v>
      </c>
      <c r="CR5" s="56">
        <v>-1E-05</v>
      </c>
      <c r="CS5" s="33">
        <v>1</v>
      </c>
      <c r="CT5" s="52">
        <f>IF($C$37&gt;CR5,IF($C$37&lt;CS5,0,1),1)</f>
        <v>0</v>
      </c>
      <c r="CU5" s="52">
        <f>IF($C$37&gt;(CR5-CR5/100*$M$35),IF($C$37&lt;(CS5+CS5/100*$M$35),0,1),1)</f>
        <v>0</v>
      </c>
      <c r="CV5" s="29">
        <f>IF($C$37&gt;(CR5-CR5/100*$FF$34),IF($C$37&lt;(CS5+CS5/100*$FF$34),0,1),1)</f>
        <v>0</v>
      </c>
      <c r="CW5" s="56">
        <v>-1E-05</v>
      </c>
      <c r="CX5" s="33">
        <v>1</v>
      </c>
      <c r="CY5" s="52">
        <f>IF($C$37&gt;CW5,IF($C$37&lt;CX5,0,1),1)</f>
        <v>0</v>
      </c>
      <c r="CZ5" s="52">
        <f>IF($C$37&gt;(CW5-CW5/100*$M$35),IF($C$37&lt;(CX5+CX5/100*$M$35),0,1),1)</f>
        <v>0</v>
      </c>
      <c r="DA5" s="29">
        <f>IF($C$37&gt;(CW5-CW5/100*$FF$34),IF($C$37&lt;(CX5+CX5/100*$FF$34),0,1),1)</f>
        <v>0</v>
      </c>
      <c r="DB5" s="56">
        <v>1.5</v>
      </c>
      <c r="DC5" s="33">
        <v>6.5</v>
      </c>
      <c r="DD5" s="52">
        <f>IF($C$37&gt;DB5,IF($C$37&lt;DC5,0,1),1)</f>
        <v>1</v>
      </c>
      <c r="DE5" s="52">
        <f>IF($C$37&gt;(DB5-DB5/100*$M$35),IF($C$37&lt;(DC5+DC5/100*$M$35),0,1),1)</f>
        <v>1</v>
      </c>
      <c r="DF5" s="29">
        <f>IF($C$37&gt;(DB5-DB5/100*$FF$34),IF($C$37&lt;(DC5+DC5/100*$FF$34),0,1),1)</f>
        <v>1</v>
      </c>
      <c r="DG5" s="56">
        <v>1.5</v>
      </c>
      <c r="DH5" s="33">
        <v>6.5</v>
      </c>
      <c r="DI5" s="52">
        <f>IF($C$37&gt;DG5,IF($C$37&lt;DH5,0,1),1)</f>
        <v>1</v>
      </c>
      <c r="DJ5" s="52">
        <f>IF($C$37&gt;(DG5-DG5/100*$M$35),IF($C$37&lt;(DH5+DH5/100*$M$35),0,1),1)</f>
        <v>1</v>
      </c>
      <c r="DK5" s="29">
        <f>IF($C$37&gt;(DG5-DG5/100*$FF$34),IF($C$37&lt;(DH5+DH5/100*$FF$34),0,1),1)</f>
        <v>1</v>
      </c>
      <c r="DL5" s="56">
        <v>1.5</v>
      </c>
      <c r="DM5" s="33">
        <v>5</v>
      </c>
      <c r="DN5" s="52">
        <f>IF($C$37&gt;DL5,IF($C$37&lt;DM5,0,1),1)</f>
        <v>1</v>
      </c>
      <c r="DO5" s="52">
        <f>IF($C$37&gt;(DL5-DL5/100*$M$35),IF($C$37&lt;(DM5+DM5/100*$M$35),0,1),1)</f>
        <v>1</v>
      </c>
      <c r="DP5" s="29">
        <f>IF($C$37&gt;(DL5-DL5/100*$FF$34),IF($C$37&lt;(DM5+DM5/100*$FF$34),0,1),1)</f>
        <v>1</v>
      </c>
      <c r="DQ5" s="56">
        <v>1.5</v>
      </c>
      <c r="DR5" s="33">
        <v>5</v>
      </c>
      <c r="DS5" s="52">
        <f>IF($C$37&gt;DQ5,IF($C$37&lt;DR5,0,1),1)</f>
        <v>1</v>
      </c>
      <c r="DT5" s="52">
        <f>IF($C$37&gt;(DQ5-DQ5/100*$M$35),IF($C$37&lt;(DR5+DR5/100*$M$35),0,1),1)</f>
        <v>1</v>
      </c>
      <c r="DU5" s="29">
        <f>IF($C$37&gt;(DQ5-DQ5/100*$FF$34),IF($C$37&lt;(DR5+DR5/100*$FF$34),0,1),1)</f>
        <v>1</v>
      </c>
      <c r="DV5" s="56">
        <v>-1E-05</v>
      </c>
      <c r="DW5" s="33">
        <v>2</v>
      </c>
      <c r="DX5" s="52">
        <f>IF($C$37&gt;DV5,IF($C$37&lt;DW5,0,1),1)</f>
        <v>0</v>
      </c>
      <c r="DY5" s="52">
        <f>IF($C$37&gt;(DV5-DV5/100*$M$35),IF($C$37&lt;(DW5+DW5/100*$M$35),0,1),1)</f>
        <v>0</v>
      </c>
      <c r="DZ5" s="29">
        <f>IF($C$37&gt;(DV5-DV5/100*$FF$34),IF($C$37&lt;(DW5+DW5/100*$FF$34),0,1),1)</f>
        <v>0</v>
      </c>
      <c r="EA5" s="56">
        <v>-1E-05</v>
      </c>
      <c r="EB5" s="33">
        <v>2</v>
      </c>
      <c r="EC5" s="52">
        <f>IF($C$37&gt;EA5,IF($C$37&lt;EB5,0,1),1)</f>
        <v>0</v>
      </c>
      <c r="ED5" s="52">
        <f>IF($C$37&gt;(EA5-EA5/100*$M$35),IF($C$37&lt;(EB5+EB5/100*$M$35),0,1),1)</f>
        <v>0</v>
      </c>
      <c r="EE5" s="29">
        <f>IF($C$37&gt;(EA5-EA5/100*$FF$34),IF($C$37&lt;(EB5+EB5/100*$FF$34),0,1),1)</f>
        <v>0</v>
      </c>
      <c r="EF5" s="56">
        <v>-1E-05</v>
      </c>
      <c r="EG5" s="33">
        <v>1</v>
      </c>
      <c r="EH5" s="52">
        <f>IF($C$37&gt;EF5,IF($C$37&lt;EG5,0,1),1)</f>
        <v>0</v>
      </c>
      <c r="EI5" s="52">
        <f>IF($C$37&gt;(EF5-EF5/100*$M$35),IF($C$37&lt;(EG5+EG5/100*$M$35),0,1),1)</f>
        <v>0</v>
      </c>
      <c r="EJ5" s="29">
        <f>IF($C$37&gt;(EF5-EF5/100*$FF$34),IF($C$37&lt;(EG5+EG5/100*$FF$34),0,1),1)</f>
        <v>0</v>
      </c>
      <c r="EK5" s="56">
        <v>-1E-05</v>
      </c>
      <c r="EL5" s="33">
        <v>1</v>
      </c>
      <c r="EM5" s="52">
        <f>IF($C$37&gt;EK5,IF($C$37&lt;EL5,0,1),1)</f>
        <v>0</v>
      </c>
      <c r="EN5" s="52">
        <f>IF($C$37&gt;(EK5-EK5/100*$M$35),IF($C$37&lt;(EL5+EL5/100*$M$35),0,1),1)</f>
        <v>0</v>
      </c>
      <c r="EO5" s="29">
        <f>IF($C$37&gt;(EK5-EK5/100*$FF$34),IF($C$37&lt;(EL5+EL5/100*$FF$34),0,1),1)</f>
        <v>0</v>
      </c>
      <c r="EP5" s="56">
        <v>-1E-05</v>
      </c>
      <c r="EQ5" s="33">
        <v>1</v>
      </c>
      <c r="ER5" s="52">
        <f>IF($C$37&gt;EP5,IF($C$37&lt;EQ5,0,1),1)</f>
        <v>0</v>
      </c>
      <c r="ES5" s="52">
        <f>IF($C$37&gt;(EP5-EP5/100*$M$35),IF($C$37&lt;(EQ5+EQ5/100*$M$35),0,1),1)</f>
        <v>0</v>
      </c>
      <c r="ET5" s="29">
        <f>IF($C$37&gt;(EP5-EP5/100*$FF$34),IF($C$37&lt;(EQ5+EQ5/100*$FF$34),0,1),1)</f>
        <v>0</v>
      </c>
      <c r="EU5" s="56">
        <v>-1E-05</v>
      </c>
      <c r="EV5" s="33">
        <v>1</v>
      </c>
      <c r="EW5" s="52">
        <f>IF($C$37&gt;EU5,IF($C$37&lt;EV5,0,1),1)</f>
        <v>0</v>
      </c>
      <c r="EX5" s="52">
        <f>IF($C$37&gt;(EU5-EU5/100*$M$35),IF($C$37&lt;(EV5+EV5/100*$M$35),0,1),1)</f>
        <v>0</v>
      </c>
      <c r="EY5" s="29">
        <f>IF($C$37&gt;(EU5-EU5/100*$FF$34),IF($C$37&lt;(EV5+EV5/100*$FF$34),0,1),1)</f>
        <v>0</v>
      </c>
      <c r="EZ5" s="56">
        <v>-1E-05</v>
      </c>
      <c r="FA5" s="33">
        <v>1</v>
      </c>
      <c r="FB5" s="52">
        <f>IF($C$37&gt;EZ5,IF($C$37&lt;FA5,0,1),1)</f>
        <v>0</v>
      </c>
      <c r="FC5" s="52">
        <f>IF($C$37&gt;(EZ5-EZ5/100*$M$35),IF($C$37&lt;(FA5+FA5/100*$M$35),0,1),1)</f>
        <v>0</v>
      </c>
      <c r="FD5" s="29">
        <f>IF($C$37&gt;(EZ5-EZ5/100*$FF$34),IF($C$37&lt;(FA5+FA5/100*$FF$34),0,1),1)</f>
        <v>0</v>
      </c>
      <c r="FE5" s="56">
        <v>-1E-05</v>
      </c>
      <c r="FF5" s="33">
        <v>1</v>
      </c>
      <c r="FG5" s="52">
        <f>IF($C$37&gt;FE5,IF($C$37&lt;FF5,0,1),1)</f>
        <v>0</v>
      </c>
      <c r="FH5" s="52">
        <f>IF($C$37&gt;(FE5-FE5/100*$M$35),IF($C$37&lt;(FF5+FF5/100*$M$35),0,1),1)</f>
        <v>0</v>
      </c>
      <c r="FI5" s="29">
        <f>IF($C$37&gt;(FE5-FE5/100*$FF$34),IF($C$37&lt;(FF5+FF5/100*$FF$34),0,1),1)</f>
        <v>0</v>
      </c>
      <c r="FJ5" s="56">
        <v>-1E-05</v>
      </c>
      <c r="FK5" s="33">
        <v>1</v>
      </c>
      <c r="FL5" s="52">
        <f>IF($C$37&gt;FJ5,IF($C$37&lt;FK5,0,1),1)</f>
        <v>0</v>
      </c>
      <c r="FM5" s="52">
        <f>IF($C$37&gt;(FJ5-FJ5/100*$M$35),IF($C$37&lt;(FK5+FK5/100*$M$35),0,1),1)</f>
        <v>0</v>
      </c>
      <c r="FN5" s="29">
        <f>IF($C$37&gt;(FJ5-FJ5/100*$FF$34),IF($C$37&lt;(FK5+FK5/100*$FF$34),0,1),1)</f>
        <v>0</v>
      </c>
      <c r="FO5" s="56">
        <v>-1E-05</v>
      </c>
      <c r="FP5" s="33">
        <v>1</v>
      </c>
      <c r="FQ5" s="52">
        <f>IF($C$37&gt;FO5,IF($C$37&lt;FP5,0,1),1)</f>
        <v>0</v>
      </c>
      <c r="FR5" s="52">
        <f>IF($C$37&gt;(FO5-FO5/100*$M$35),IF($C$37&lt;(FP5+FP5/100*$M$35),0,1),1)</f>
        <v>0</v>
      </c>
      <c r="FS5" s="29">
        <f>IF($C$37&gt;(FO5-FO5/100*$FF$34),IF($C$37&lt;(FP5+FP5/100*$FF$34),0,1),1)</f>
        <v>0</v>
      </c>
      <c r="FT5" s="56">
        <v>-1E-05</v>
      </c>
      <c r="FU5" s="33">
        <v>1</v>
      </c>
      <c r="FV5" s="52">
        <f>IF($C$37&gt;FT5,IF($C$37&lt;FU5,0,1),1)</f>
        <v>0</v>
      </c>
      <c r="FW5" s="52">
        <f>IF($C$37&gt;(FT5-FT5/100*$M$35),IF($C$37&lt;(FU5+FU5/100*$M$35),0,1),1)</f>
        <v>0</v>
      </c>
      <c r="FX5" s="29">
        <f>IF($C$37&gt;(FT5-FT5/100*$FF$34),IF($C$37&lt;(FU5+FU5/100*$FF$34),0,1),1)</f>
        <v>0</v>
      </c>
      <c r="FY5" s="56">
        <v>-1E-05</v>
      </c>
      <c r="FZ5" s="33">
        <v>3.5</v>
      </c>
      <c r="GA5" s="52">
        <f>IF($C$37&gt;FY5,IF($C$37&lt;FZ5,0,1),1)</f>
        <v>0</v>
      </c>
      <c r="GB5" s="52">
        <f>IF($C$37&gt;(FY5-FY5/100*$M$35),IF($C$37&lt;(FZ5+FZ5/100*$M$35),0,1),1)</f>
        <v>0</v>
      </c>
      <c r="GC5" s="29">
        <f>IF($C$37&gt;(FY5-FY5/100*$FF$34),IF($C$37&lt;(FZ5+FZ5/100*$FF$34),0,1),1)</f>
        <v>0</v>
      </c>
      <c r="GD5" s="56">
        <v>-1E-05</v>
      </c>
      <c r="GE5" s="33">
        <v>2.5</v>
      </c>
      <c r="GF5" s="52">
        <f>IF($C$37&gt;GD5,IF($C$37&lt;GE5,0,1),1)</f>
        <v>0</v>
      </c>
      <c r="GG5" s="52">
        <f>IF($C$37&gt;(GD5-GD5/100*$M$35),IF($C$37&lt;(GE5+GE5/100*$M$35),0,1),1)</f>
        <v>0</v>
      </c>
      <c r="GH5" s="29">
        <f>IF($C$37&gt;(GD5-GD5/100*$FF$34),IF($C$37&lt;(GE5+GE5/100*$FF$34),0,1),1)</f>
        <v>0</v>
      </c>
      <c r="GI5" s="56">
        <v>-1E-05</v>
      </c>
      <c r="GJ5" s="33">
        <v>2.5</v>
      </c>
      <c r="GK5" s="52">
        <f>IF($C$37&gt;GI5,IF($C$37&lt;GJ5,0,1),1)</f>
        <v>0</v>
      </c>
      <c r="GL5" s="52">
        <f>IF($C$37&gt;(GI5-GI5/100*$M$35),IF($C$37&lt;(GJ5+GJ5/100*$M$35),0,1),1)</f>
        <v>0</v>
      </c>
      <c r="GM5" s="29">
        <f>IF($C$37&gt;(GI5-GI5/100*$FF$34),IF($C$37&lt;(GJ5+GJ5/100*$FF$34),0,1),1)</f>
        <v>0</v>
      </c>
      <c r="GN5" s="56">
        <v>-1E-05</v>
      </c>
      <c r="GO5" s="33">
        <v>2.5</v>
      </c>
      <c r="GP5" s="52">
        <f>IF($C$37&gt;GN5,IF($C$37&lt;GO5,0,1),1)</f>
        <v>0</v>
      </c>
      <c r="GQ5" s="52">
        <f>IF($C$37&gt;(GN5-GN5/100*$M$35),IF($C$37&lt;(GO5+GO5/100*$M$35),0,1),1)</f>
        <v>0</v>
      </c>
      <c r="GR5" s="29">
        <f>IF($C$37&gt;(GN5-GN5/100*$FF$34),IF($C$37&lt;(GO5+GO5/100*$FF$34),0,1),1)</f>
        <v>0</v>
      </c>
      <c r="GS5" s="56">
        <v>-1E-05</v>
      </c>
      <c r="GT5" s="33">
        <v>1</v>
      </c>
      <c r="GU5" s="52">
        <f>IF($C$37&gt;GS5,IF($C$37&lt;GT5,0,1),1)</f>
        <v>0</v>
      </c>
      <c r="GV5" s="52">
        <f>IF($C$37&gt;(GS5-GS5/100*$M$35),IF($C$37&lt;(GT5+GT5/100*$M$35),0,1),1)</f>
        <v>0</v>
      </c>
      <c r="GW5" s="29">
        <f>IF($C$37&gt;(GS5-GS5/100*$FF$34),IF($C$37&lt;(GT5+GT5/100*$FF$34),0,1),1)</f>
        <v>0</v>
      </c>
      <c r="GX5" s="56">
        <v>1</v>
      </c>
      <c r="GY5" s="33">
        <v>4</v>
      </c>
      <c r="GZ5" s="52">
        <f>IF($C$37&gt;GX5,IF($C$37&lt;GY5,0,1),1)</f>
        <v>1</v>
      </c>
      <c r="HA5" s="52">
        <f>IF($C$37&gt;(GX5-GX5/100*$M$35),IF($C$37&lt;(GY5+GY5/100*$M$35),0,1),1)</f>
        <v>1</v>
      </c>
      <c r="HB5" s="29">
        <f>IF($C$37&gt;(GX5-GX5/100*$FF$34),IF($C$37&lt;(GY5+GY5/100*$FF$34),0,1),1)</f>
        <v>1</v>
      </c>
      <c r="HC5" s="56">
        <v>1</v>
      </c>
      <c r="HD5" s="33">
        <v>4</v>
      </c>
      <c r="HE5" s="52">
        <f>IF($C$37&gt;HC5,IF($C$37&lt;HD5,0,1),1)</f>
        <v>1</v>
      </c>
      <c r="HF5" s="52">
        <f>IF($C$37&gt;(HC5-HC5/100*$M$35),IF($C$37&lt;(HD5+HD5/100*$M$35),0,1),1)</f>
        <v>1</v>
      </c>
      <c r="HG5" s="29">
        <f>IF($C$37&gt;(HC5-HC5/100*$FF$34),IF($C$37&lt;(HD5+HD5/100*$FF$34),0,1),1)</f>
        <v>1</v>
      </c>
      <c r="HH5" s="56">
        <v>0.5</v>
      </c>
      <c r="HI5" s="33">
        <v>2</v>
      </c>
      <c r="HJ5" s="52">
        <f>IF($C$37&gt;HH5,IF($C$37&lt;HI5,0,1),1)</f>
        <v>1</v>
      </c>
      <c r="HK5" s="52">
        <f>IF($C$37&gt;(HH5-HH5/100*$M$35),IF($C$37&lt;(HI5+HI5/100*$M$35),0,1),1)</f>
        <v>1</v>
      </c>
      <c r="HL5" s="29">
        <f>IF($C$37&gt;(HH5-HH5/100*$FF$34),IF($C$37&lt;(HI5+HI5/100*$FF$34),0,1),1)</f>
        <v>1</v>
      </c>
      <c r="HM5" s="56">
        <v>-1E-05</v>
      </c>
      <c r="HN5" s="33">
        <v>1</v>
      </c>
      <c r="HO5" s="52">
        <f>IF($C$37&gt;HM5,IF($C$37&lt;HN5,0,1),1)</f>
        <v>0</v>
      </c>
      <c r="HP5" s="52">
        <f>IF($C$37&gt;(HM5-HM5/100*$M$35),IF($C$37&lt;(HN5+HN5/100*$M$35),0,1),1)</f>
        <v>0</v>
      </c>
      <c r="HQ5" s="29">
        <f>IF($C$37&gt;(HM5-HM5/100*$FF$34),IF($C$37&lt;(HN5+HN5/100*$FF$34),0,1),1)</f>
        <v>0</v>
      </c>
      <c r="HR5" s="56">
        <v>-1E-05</v>
      </c>
      <c r="HS5" s="33">
        <v>1</v>
      </c>
      <c r="HT5" s="52">
        <f>IF($C$37&gt;HR5,IF($C$37&lt;HS5,0,1),1)</f>
        <v>0</v>
      </c>
      <c r="HU5" s="52">
        <f>IF($C$37&gt;(HR5-HR5/100*$M$35),IF($C$37&lt;(HS5+HS5/100*$M$35),0,1),1)</f>
        <v>0</v>
      </c>
      <c r="HV5" s="29">
        <f>IF($C$37&gt;(HR5-HR5/100*$FF$34),IF($C$37&lt;(HS5+HS5/100*$FF$34),0,1),1)</f>
        <v>0</v>
      </c>
      <c r="HW5" s="56">
        <v>-1E-05</v>
      </c>
      <c r="HX5" s="33">
        <v>1</v>
      </c>
      <c r="HY5" s="52">
        <f>IF($C$37&gt;HW5,IF($C$37&lt;HX5,0,1),1)</f>
        <v>0</v>
      </c>
      <c r="HZ5" s="52">
        <f>IF($C$37&gt;(HW5-HW5/100*$M$35),IF($C$37&lt;(HX5+HX5/100*$M$35),0,1),1)</f>
        <v>0</v>
      </c>
      <c r="IA5" s="29">
        <f>IF($C$37&gt;(HW5-HW5/100*$FF$34),IF($C$37&lt;(HX5+HX5/100*$FF$34),0,1),1)</f>
        <v>0</v>
      </c>
      <c r="IB5" s="56">
        <v>-1E-05</v>
      </c>
      <c r="IC5" s="33">
        <v>1</v>
      </c>
      <c r="ID5" s="52">
        <f>IF($C$37&gt;IB5,IF($C$37&lt;IC5,0,1),1)</f>
        <v>0</v>
      </c>
      <c r="IE5" s="52">
        <f>IF($C$37&gt;(IB5-IB5/100*$M$35),IF($C$37&lt;(IC5+IC5/100*$M$35),0,1),1)</f>
        <v>0</v>
      </c>
      <c r="IF5" s="29">
        <f>IF($C$37&gt;(IB5-IB5/100*$FF$34),IF($C$37&lt;(IC5+IC5/100*$FF$34),0,1),1)</f>
        <v>0</v>
      </c>
      <c r="IG5" s="56">
        <v>-1E-05</v>
      </c>
      <c r="IH5" s="33">
        <v>1.5</v>
      </c>
      <c r="II5" s="52">
        <f>IF($C$37&gt;IG5,IF($C$37&lt;IH5,0,1),1)</f>
        <v>0</v>
      </c>
      <c r="IJ5" s="52">
        <f>IF($C$37&gt;(IG5-IG5/100*$M$35),IF($C$37&lt;(IH5+IH5/100*$M$35),0,1),1)</f>
        <v>0</v>
      </c>
      <c r="IK5" s="29">
        <f>IF($C$37&gt;(IG5-IG5/100*$FF$34),IF($C$37&lt;(IH5+IH5/100*$FF$34),0,1),1)</f>
        <v>0</v>
      </c>
      <c r="IL5" s="61"/>
    </row>
    <row r="6" spans="1:246" ht="12" customHeight="1" thickTop="1">
      <c r="A6" s="60"/>
      <c r="B6" s="3" t="s">
        <v>65</v>
      </c>
      <c r="C6" s="124"/>
      <c r="D6" s="124"/>
      <c r="E6" s="124"/>
      <c r="F6" s="61"/>
      <c r="H6" s="12" t="s">
        <v>66</v>
      </c>
      <c r="I6" s="13" t="str">
        <f>CONCATENATE("(",DR38," - ",DS38,")")</f>
        <v>(17 - 26,5)</v>
      </c>
      <c r="J6" s="21" t="str">
        <f>IF(DT38=0,"ja","nein")</f>
        <v>nein</v>
      </c>
      <c r="K6"/>
      <c r="L6" s="12" t="s">
        <v>66</v>
      </c>
      <c r="M6" s="13" t="str">
        <f>CONCATENATE("(",DW38," - ",DX38,")")</f>
        <v>(23 - 32)</v>
      </c>
      <c r="N6" s="21" t="str">
        <f>IF(DY38=0,"ja","nein")</f>
        <v>ja</v>
      </c>
      <c r="P6" s="12" t="s">
        <v>66</v>
      </c>
      <c r="Q6" s="13" t="str">
        <f>CONCATENATE("(",EB38," - ",EC38,")")</f>
        <v>(23 - 31,5)</v>
      </c>
      <c r="R6" s="21" t="str">
        <f>IF(ED38=0,"ja","nein")</f>
        <v>ja</v>
      </c>
      <c r="T6" s="12" t="s">
        <v>66</v>
      </c>
      <c r="U6" s="13" t="str">
        <f>CONCATENATE("(",EG38," - ",EH38,")")</f>
        <v>(20 - 29,5)</v>
      </c>
      <c r="V6" s="21" t="str">
        <f>IF(EI38=0,"ja","nein")</f>
        <v>ja</v>
      </c>
      <c r="X6" s="83"/>
      <c r="Y6" s="128" t="str">
        <f t="shared" si="0"/>
        <v>Mg</v>
      </c>
      <c r="Z6" s="56">
        <v>24</v>
      </c>
      <c r="AA6" s="33">
        <v>33</v>
      </c>
      <c r="AB6" s="52">
        <f>IF($C$38&gt;Z6,IF($C$38&lt;AA6,0,1),1)</f>
        <v>1</v>
      </c>
      <c r="AC6" s="52">
        <f>IF($C$38&gt;(Z6-Z6/100*$M$35),IF($C$38&lt;(AA6+AA6/100*$M$35),0,1),1)</f>
        <v>1</v>
      </c>
      <c r="AD6" s="29">
        <f>IF($C$38&gt;(Z6-Z6/100*$FF$34),IF($C$38&lt;(AA6+AA6/100*$FF$34),0,1),1)</f>
        <v>1</v>
      </c>
      <c r="AE6" s="56">
        <v>18</v>
      </c>
      <c r="AF6" s="33">
        <v>26</v>
      </c>
      <c r="AG6" s="52">
        <f>IF($C$38&gt;AE6,IF($C$38&lt;AF6,0,1),1)</f>
        <v>1</v>
      </c>
      <c r="AH6" s="52">
        <f>IF($C$38&gt;(AE6-AE6/100*$M$35),IF($C$38&lt;(AF6+AF6/100*$M$35),0,1),1)</f>
        <v>1</v>
      </c>
      <c r="AI6" s="29">
        <f>IF($C$38&gt;(AE6-AE6/100*$FF$34),IF($C$38&lt;(AF6+AF6/100*$FF$34),0,1),1)</f>
        <v>1</v>
      </c>
      <c r="AJ6" s="56">
        <v>8</v>
      </c>
      <c r="AK6" s="33">
        <v>14</v>
      </c>
      <c r="AL6" s="52">
        <f>IF($C$38&gt;AJ6,IF($C$38&lt;AK6,0,1),1)</f>
        <v>1</v>
      </c>
      <c r="AM6" s="52">
        <f>IF($C$38&gt;(AJ6-AJ6/100*$M$35),IF($C$38&lt;(AK6+AK6/100*$M$35),0,1),1)</f>
        <v>1</v>
      </c>
      <c r="AN6" s="29">
        <f>IF($C$38&gt;(AJ6-AJ6/100*$FF$34),IF($C$38&lt;(AK6+AK6/100*$FF$34),0,1),1)</f>
        <v>1</v>
      </c>
      <c r="AO6" s="56">
        <v>6.5</v>
      </c>
      <c r="AP6" s="33">
        <v>12.5</v>
      </c>
      <c r="AQ6" s="52">
        <f>IF($C$38&gt;AO6,IF($C$38&lt;AP6,0,1),1)</f>
        <v>1</v>
      </c>
      <c r="AR6" s="52">
        <f>IF($C$38&gt;(AO6-AO6/100*$M$35),IF($C$38&lt;(AP6+AP6/100*$M$35),0,1),1)</f>
        <v>1</v>
      </c>
      <c r="AS6" s="29">
        <f>IF($C$38&gt;(AO6-AO6/100*$FF$34),IF($C$38&lt;(AP6+AP6/100*$FF$34),0,1),1)</f>
        <v>1</v>
      </c>
      <c r="AT6" s="56">
        <v>6.5</v>
      </c>
      <c r="AU6" s="33">
        <v>12.5</v>
      </c>
      <c r="AV6" s="52">
        <f>IF($C$38&gt;AT6,IF($C$38&lt;AU6,0,1),1)</f>
        <v>1</v>
      </c>
      <c r="AW6" s="52">
        <f>IF($C$38&gt;(AT6-AT6/100*$M$35),IF($C$38&lt;(AU6+AU6/100*$M$35),0,1),1)</f>
        <v>1</v>
      </c>
      <c r="AX6" s="29">
        <f>IF($C$38&gt;(AT6-AT6/100*$FF$34),IF($C$38&lt;(AU6+AU6/100*$FF$34),0,1),1)</f>
        <v>1</v>
      </c>
      <c r="AY6" s="56">
        <v>2</v>
      </c>
      <c r="AZ6" s="33">
        <v>6.5</v>
      </c>
      <c r="BA6" s="52">
        <f>IF($C$38&gt;AY6,IF($C$38&lt;AZ6,0,1),1)</f>
        <v>1</v>
      </c>
      <c r="BB6" s="52">
        <f>IF($C$38&gt;(AY6-AY6/100*$M$35),IF($C$38&lt;(AZ6+AZ6/100*$M$35),0,1),1)</f>
        <v>1</v>
      </c>
      <c r="BC6" s="29">
        <f>IF($C$38&gt;(AY6-AY6/100*$FF$34),IF($C$38&lt;(AZ6+AZ6/100*$FF$34),0,1),1)</f>
        <v>1</v>
      </c>
      <c r="BD6" s="56">
        <v>5.5</v>
      </c>
      <c r="BE6" s="33">
        <v>11.5</v>
      </c>
      <c r="BF6" s="52">
        <f>IF($C$38&gt;BD6,IF($C$38&lt;BE6,0,1),1)</f>
        <v>1</v>
      </c>
      <c r="BG6" s="52">
        <f>IF($C$38&gt;(BD6-BD6/100*$M$35),IF($C$38&lt;(BE6+BE6/100*$M$35),0,1),1)</f>
        <v>1</v>
      </c>
      <c r="BH6" s="29">
        <f>IF($C$38&gt;(BD6-BD6/100*$FF$34),IF($C$38&lt;(BE6+BE6/100*$FF$34),0,1),1)</f>
        <v>1</v>
      </c>
      <c r="BI6" s="56">
        <v>4.5</v>
      </c>
      <c r="BJ6" s="33">
        <v>10.5</v>
      </c>
      <c r="BK6" s="52">
        <f>IF($C$38&gt;BI6,IF($C$38&lt;BJ6,0,1),1)</f>
        <v>1</v>
      </c>
      <c r="BL6" s="52">
        <f>IF($C$38&gt;(BI6-BI6/100*$M$35),IF($C$38&lt;(BJ6+BJ6/100*$M$35),0,1),1)</f>
        <v>1</v>
      </c>
      <c r="BM6" s="29">
        <f>IF($C$38&gt;(BI6-BI6/100*$FF$34),IF($C$38&lt;(BJ6+BJ6/100*$FF$34),0,1),1)</f>
        <v>1</v>
      </c>
      <c r="BN6" s="56">
        <v>6</v>
      </c>
      <c r="BO6" s="33">
        <v>11.5</v>
      </c>
      <c r="BP6" s="52">
        <f>IF($C$38&gt;BN6,IF($C$38&lt;BO6,0,1),1)</f>
        <v>1</v>
      </c>
      <c r="BQ6" s="52">
        <f>IF($C$38&gt;(BN6-BN6/100*$M$35),IF($C$38&lt;(BO6+BO6/100*$M$35),0,1),1)</f>
        <v>1</v>
      </c>
      <c r="BR6" s="29">
        <f>IF($C$38&gt;(BN6-BN6/100*$FF$34),IF($C$38&lt;(BO6+BO6/100*$FF$34),0,1),1)</f>
        <v>1</v>
      </c>
      <c r="BS6" s="56">
        <v>2</v>
      </c>
      <c r="BT6" s="33">
        <v>6.5</v>
      </c>
      <c r="BU6" s="52">
        <f>IF($C$38&gt;BS6,IF($C$38&lt;BT6,0,1),1)</f>
        <v>1</v>
      </c>
      <c r="BV6" s="52">
        <f>IF($C$38&gt;(BS6-BS6/100*$M$35),IF($C$38&lt;(BT6+BT6/100*$M$35),0,1),1)</f>
        <v>1</v>
      </c>
      <c r="BW6" s="29">
        <f>IF($C$38&gt;(BS6-BS6/100*$FF$34),IF($C$38&lt;(BT6+BT6/100*$FF$34),0,1),1)</f>
        <v>1</v>
      </c>
      <c r="BX6" s="56">
        <v>9</v>
      </c>
      <c r="BY6" s="33">
        <v>15</v>
      </c>
      <c r="BZ6" s="52">
        <f>IF($C$38&gt;BX6,IF($C$38&lt;BY6,0,1),1)</f>
        <v>1</v>
      </c>
      <c r="CA6" s="52">
        <f>IF($C$38&gt;(BX6-BX6/100*$M$35),IF($C$38&lt;(BY6+BY6/100*$M$35),0,1),1)</f>
        <v>1</v>
      </c>
      <c r="CB6" s="29">
        <f>IF($C$38&gt;(BX6-BX6/100*$FF$34),IF($C$38&lt;(BY6+BY6/100*$FF$34),0,1),1)</f>
        <v>1</v>
      </c>
      <c r="CC6" s="56">
        <v>4.5</v>
      </c>
      <c r="CD6" s="33">
        <v>10.5</v>
      </c>
      <c r="CE6" s="52">
        <f>IF($C$38&gt;CC6,IF($C$38&lt;CD6,0,1),1)</f>
        <v>1</v>
      </c>
      <c r="CF6" s="52">
        <f>IF($C$38&gt;(CC6-CC6/100*$M$35),IF($C$38&lt;(CD6+CD6/100*$M$35),0,1),1)</f>
        <v>1</v>
      </c>
      <c r="CG6" s="29">
        <f>IF($C$38&gt;(CC6-CC6/100*$FF$34),IF($C$38&lt;(CD6+CD6/100*$FF$34),0,1),1)</f>
        <v>1</v>
      </c>
      <c r="CH6" s="56">
        <v>21</v>
      </c>
      <c r="CI6" s="33">
        <v>27</v>
      </c>
      <c r="CJ6" s="52">
        <f>IF($C$38&gt;CH6,IF($C$38&lt;CI6,0,1),1)</f>
        <v>1</v>
      </c>
      <c r="CK6" s="52">
        <f>IF($C$38&gt;(CH6-CH6/100*$M$35),IF($C$38&lt;(CI6+CI6/100*$M$35),0,1),1)</f>
        <v>1</v>
      </c>
      <c r="CL6" s="29">
        <f>IF($C$38&gt;(CH6-CH6/100*$FF$34),IF($C$38&lt;(CI6+CI6/100*$FF$34),0,1),1)</f>
        <v>1</v>
      </c>
      <c r="CM6" s="56">
        <v>15</v>
      </c>
      <c r="CN6" s="33">
        <v>21.5</v>
      </c>
      <c r="CO6" s="52">
        <f>IF($C$38&gt;CM6,IF($C$38&lt;CN6,0,1),1)</f>
        <v>0</v>
      </c>
      <c r="CP6" s="52">
        <f>IF($C$38&gt;(CM6-CM6/100*$M$35),IF($C$38&lt;(CN6+CN6/100*$M$35),0,1),1)</f>
        <v>0</v>
      </c>
      <c r="CQ6" s="29">
        <f>IF($C$38&gt;(CM6-CM6/100*$FF$34),IF($C$38&lt;(CN6+CN6/100*$FF$34),0,1),1)</f>
        <v>0</v>
      </c>
      <c r="CR6" s="56">
        <v>10</v>
      </c>
      <c r="CS6" s="33">
        <v>16</v>
      </c>
      <c r="CT6" s="52">
        <f>IF($C$38&gt;CR6,IF($C$38&lt;CS6,0,1),1)</f>
        <v>0</v>
      </c>
      <c r="CU6" s="52">
        <f>IF($C$38&gt;(CR6-CR6/100*$M$35),IF($C$38&lt;(CS6+CS6/100*$M$35),0,1),1)</f>
        <v>0</v>
      </c>
      <c r="CV6" s="29">
        <f>IF($C$38&gt;(CR6-CR6/100*$FF$34),IF($C$38&lt;(CS6+CS6/100*$FF$34),0,1),1)</f>
        <v>0</v>
      </c>
      <c r="CW6" s="56">
        <v>5</v>
      </c>
      <c r="CX6" s="33">
        <v>11</v>
      </c>
      <c r="CY6" s="52">
        <f>IF($C$38&gt;CW6,IF($C$38&lt;CX6,0,1),1)</f>
        <v>1</v>
      </c>
      <c r="CZ6" s="52">
        <f>IF($C$38&gt;(CW6-CW6/100*$M$35),IF($C$38&lt;(CX6+CX6/100*$M$35),0,1),1)</f>
        <v>1</v>
      </c>
      <c r="DA6" s="29">
        <f>IF($C$38&gt;(CW6-CW6/100*$FF$34),IF($C$38&lt;(CX6+CX6/100*$FF$34),0,1),1)</f>
        <v>1</v>
      </c>
      <c r="DB6" s="56">
        <v>5.5</v>
      </c>
      <c r="DC6" s="33">
        <v>11.5</v>
      </c>
      <c r="DD6" s="52">
        <f>IF($C$38&gt;DB6,IF($C$38&lt;DC6,0,1),1)</f>
        <v>1</v>
      </c>
      <c r="DE6" s="52">
        <f>IF($C$38&gt;(DB6-DB6/100*$M$35),IF($C$38&lt;(DC6+DC6/100*$M$35),0,1),1)</f>
        <v>1</v>
      </c>
      <c r="DF6" s="29">
        <f>IF($C$38&gt;(DB6-DB6/100*$FF$34),IF($C$38&lt;(DC6+DC6/100*$FF$34),0,1),1)</f>
        <v>1</v>
      </c>
      <c r="DG6" s="56">
        <v>5</v>
      </c>
      <c r="DH6" s="33">
        <v>11</v>
      </c>
      <c r="DI6" s="52">
        <f>IF($C$38&gt;DG6,IF($C$38&lt;DH6,0,1),1)</f>
        <v>1</v>
      </c>
      <c r="DJ6" s="52">
        <f>IF($C$38&gt;(DG6-DG6/100*$M$35),IF($C$38&lt;(DH6+DH6/100*$M$35),0,1),1)</f>
        <v>1</v>
      </c>
      <c r="DK6" s="29">
        <f>IF($C$38&gt;(DG6-DG6/100*$FF$34),IF($C$38&lt;(DH6+DH6/100*$FF$34),0,1),1)</f>
        <v>1</v>
      </c>
      <c r="DL6" s="56">
        <v>7</v>
      </c>
      <c r="DM6" s="33">
        <v>13</v>
      </c>
      <c r="DN6" s="52">
        <f>IF($C$38&gt;DL6,IF($C$38&lt;DM6,0,1),1)</f>
        <v>1</v>
      </c>
      <c r="DO6" s="52">
        <f>IF($C$38&gt;(DL6-DL6/100*$M$35),IF($C$38&lt;(DM6+DM6/100*$M$35),0,1),1)</f>
        <v>1</v>
      </c>
      <c r="DP6" s="29">
        <f>IF($C$38&gt;(DL6-DL6/100*$FF$34),IF($C$38&lt;(DM6+DM6/100*$FF$34),0,1),1)</f>
        <v>1</v>
      </c>
      <c r="DQ6" s="56">
        <v>5</v>
      </c>
      <c r="DR6" s="33">
        <v>11</v>
      </c>
      <c r="DS6" s="52">
        <f>IF($C$38&gt;DQ6,IF($C$38&lt;DR6,0,1),1)</f>
        <v>1</v>
      </c>
      <c r="DT6" s="52">
        <f>IF($C$38&gt;(DQ6-DQ6/100*$M$35),IF($C$38&lt;(DR6+DR6/100*$M$35),0,1),1)</f>
        <v>1</v>
      </c>
      <c r="DU6" s="29">
        <f>IF($C$38&gt;(DQ6-DQ6/100*$FF$34),IF($C$38&lt;(DR6+DR6/100*$FF$34),0,1),1)</f>
        <v>1</v>
      </c>
      <c r="DV6" s="56">
        <v>3</v>
      </c>
      <c r="DW6" s="33">
        <v>9</v>
      </c>
      <c r="DX6" s="52">
        <f>IF($C$38&gt;DV6,IF($C$38&lt;DW6,0,1),1)</f>
        <v>1</v>
      </c>
      <c r="DY6" s="52">
        <f>IF($C$38&gt;(DV6-DV6/100*$M$35),IF($C$38&lt;(DW6+DW6/100*$M$35),0,1),1)</f>
        <v>1</v>
      </c>
      <c r="DZ6" s="29">
        <f>IF($C$38&gt;(DV6-DV6/100*$FF$34),IF($C$38&lt;(DW6+DW6/100*$FF$34),0,1),1)</f>
        <v>1</v>
      </c>
      <c r="EA6" s="56">
        <v>2.5</v>
      </c>
      <c r="EB6" s="33">
        <v>7</v>
      </c>
      <c r="EC6" s="52">
        <f>IF($C$38&gt;EA6,IF($C$38&lt;EB6,0,1),1)</f>
        <v>1</v>
      </c>
      <c r="ED6" s="52">
        <f>IF($C$38&gt;(EA6-EA6/100*$M$35),IF($C$38&lt;(EB6+EB6/100*$M$35),0,1),1)</f>
        <v>1</v>
      </c>
      <c r="EE6" s="29">
        <f>IF($C$38&gt;(EA6-EA6/100*$FF$34),IF($C$38&lt;(EB6+EB6/100*$FF$34),0,1),1)</f>
        <v>1</v>
      </c>
      <c r="EF6" s="56">
        <v>15.5</v>
      </c>
      <c r="EG6" s="33">
        <v>24.5</v>
      </c>
      <c r="EH6" s="52">
        <f>IF($C$38&gt;EF6,IF($C$38&lt;EG6,0,1),1)</f>
        <v>0</v>
      </c>
      <c r="EI6" s="52">
        <f>IF($C$38&gt;(EF6-EF6/100*$M$35),IF($C$38&lt;(EG6+EG6/100*$M$35),0,1),1)</f>
        <v>0</v>
      </c>
      <c r="EJ6" s="29">
        <f>IF($C$38&gt;(EF6-EF6/100*$FF$34),IF($C$38&lt;(EG6+EG6/100*$FF$34),0,1),1)</f>
        <v>0</v>
      </c>
      <c r="EK6" s="56">
        <v>15.5</v>
      </c>
      <c r="EL6" s="33">
        <v>25.5</v>
      </c>
      <c r="EM6" s="52">
        <f>IF($C$38&gt;EK6,IF($C$38&lt;EL6,0,1),1)</f>
        <v>0</v>
      </c>
      <c r="EN6" s="52">
        <f>IF($C$38&gt;(EK6-EK6/100*$M$35),IF($C$38&lt;(EL6+EL6/100*$M$35),0,1),1)</f>
        <v>0</v>
      </c>
      <c r="EO6" s="29">
        <f>IF($C$38&gt;(EK6-EK6/100*$FF$34),IF($C$38&lt;(EL6+EL6/100*$FF$34),0,1),1)</f>
        <v>0</v>
      </c>
      <c r="EP6" s="56">
        <v>16</v>
      </c>
      <c r="EQ6" s="33">
        <v>26.5</v>
      </c>
      <c r="ER6" s="52">
        <f>IF($C$38&gt;EP6,IF($C$38&lt;EQ6,0,1),1)</f>
        <v>1</v>
      </c>
      <c r="ES6" s="52">
        <f>IF($C$38&gt;(EP6-EP6/100*$M$35),IF($C$38&lt;(EQ6+EQ6/100*$M$35),0,1),1)</f>
        <v>1</v>
      </c>
      <c r="ET6" s="29">
        <f>IF($C$38&gt;(EP6-EP6/100*$FF$34),IF($C$38&lt;(EQ6+EQ6/100*$FF$34),0,1),1)</f>
        <v>1</v>
      </c>
      <c r="EU6" s="56">
        <v>4</v>
      </c>
      <c r="EV6" s="33">
        <v>18.5</v>
      </c>
      <c r="EW6" s="52">
        <f>IF($C$38&gt;EU6,IF($C$38&lt;EV6,0,1),1)</f>
        <v>0</v>
      </c>
      <c r="EX6" s="52">
        <f>IF($C$38&gt;(EU6-EU6/100*$M$35),IF($C$38&lt;(EV6+EV6/100*$M$35),0,1),1)</f>
        <v>0</v>
      </c>
      <c r="EY6" s="29">
        <f>IF($C$38&gt;(EU6-EU6/100*$FF$34),IF($C$38&lt;(EV6+EV6/100*$FF$34),0,1),1)</f>
        <v>0</v>
      </c>
      <c r="EZ6" s="56">
        <v>4</v>
      </c>
      <c r="FA6" s="33">
        <v>19</v>
      </c>
      <c r="FB6" s="52">
        <f>IF($C$38&gt;EZ6,IF($C$38&lt;FA6,0,1),1)</f>
        <v>0</v>
      </c>
      <c r="FC6" s="52">
        <f>IF($C$38&gt;(EZ6-EZ6/100*$M$35),IF($C$38&lt;(FA6+FA6/100*$M$35),0,1),1)</f>
        <v>0</v>
      </c>
      <c r="FD6" s="29">
        <f>IF($C$38&gt;(EZ6-EZ6/100*$FF$34),IF($C$38&lt;(FA6+FA6/100*$FF$34),0,1),1)</f>
        <v>0</v>
      </c>
      <c r="FE6" s="56">
        <v>5</v>
      </c>
      <c r="FF6" s="33">
        <v>20</v>
      </c>
      <c r="FG6" s="52">
        <f>IF($C$38&gt;FE6,IF($C$38&lt;FF6,0,1),1)</f>
        <v>0</v>
      </c>
      <c r="FH6" s="52">
        <f>IF($C$38&gt;(FE6-FE6/100*$M$35),IF($C$38&lt;(FF6+FF6/100*$M$35),0,1),1)</f>
        <v>0</v>
      </c>
      <c r="FI6" s="29">
        <f>IF($C$38&gt;(FE6-FE6/100*$FF$34),IF($C$38&lt;(FF6+FF6/100*$FF$34),0,1),1)</f>
        <v>0</v>
      </c>
      <c r="FJ6" s="56">
        <v>-1E-05</v>
      </c>
      <c r="FK6" s="33">
        <v>6.5</v>
      </c>
      <c r="FL6" s="52">
        <f>IF($C$38&gt;FJ6,IF($C$38&lt;FK6,0,1),1)</f>
        <v>1</v>
      </c>
      <c r="FM6" s="52">
        <f>IF($C$38&gt;(FJ6-FJ6/100*$M$35),IF($C$38&lt;(FK6+FK6/100*$M$35),0,1),1)</f>
        <v>1</v>
      </c>
      <c r="FN6" s="29">
        <f>IF($C$38&gt;(FJ6-FJ6/100*$FF$34),IF($C$38&lt;(FK6+FK6/100*$FF$34),0,1),1)</f>
        <v>1</v>
      </c>
      <c r="FO6" s="56">
        <v>-1E-05</v>
      </c>
      <c r="FP6" s="33">
        <v>8</v>
      </c>
      <c r="FQ6" s="52">
        <f>IF($C$38&gt;FO6,IF($C$38&lt;FP6,0,1),1)</f>
        <v>1</v>
      </c>
      <c r="FR6" s="52">
        <f>IF($C$38&gt;(FO6-FO6/100*$M$35),IF($C$38&lt;(FP6+FP6/100*$M$35),0,1),1)</f>
        <v>1</v>
      </c>
      <c r="FS6" s="29">
        <f>IF($C$38&gt;(FO6-FO6/100*$FF$34),IF($C$38&lt;(FP6+FP6/100*$FF$34),0,1),1)</f>
        <v>1</v>
      </c>
      <c r="FT6" s="56">
        <v>17</v>
      </c>
      <c r="FU6" s="33">
        <v>23</v>
      </c>
      <c r="FV6" s="52">
        <f>IF($C$38&gt;FT6,IF($C$38&lt;FU6,0,1),1)</f>
        <v>1</v>
      </c>
      <c r="FW6" s="52">
        <f>IF($C$38&gt;(FT6-FT6/100*$M$35),IF($C$38&lt;(FU6+FU6/100*$M$35),0,1),1)</f>
        <v>1</v>
      </c>
      <c r="FX6" s="29">
        <f>IF($C$38&gt;(FT6-FT6/100*$FF$34),IF($C$38&lt;(FU6+FU6/100*$FF$34),0,1),1)</f>
        <v>1</v>
      </c>
      <c r="FY6" s="56">
        <v>-1E-05</v>
      </c>
      <c r="FZ6" s="33">
        <v>1</v>
      </c>
      <c r="GA6" s="52">
        <f>IF($C$38&gt;FY6,IF($C$38&lt;FZ6,0,1),1)</f>
        <v>1</v>
      </c>
      <c r="GB6" s="52">
        <f>IF($C$38&gt;(FY6-FY6/100*$M$35),IF($C$38&lt;(FZ6+FZ6/100*$M$35),0,1),1)</f>
        <v>1</v>
      </c>
      <c r="GC6" s="29">
        <f>IF($C$38&gt;(FY6-FY6/100*$FF$34),IF($C$38&lt;(FZ6+FZ6/100*$FF$34),0,1),1)</f>
        <v>1</v>
      </c>
      <c r="GD6" s="56">
        <v>15</v>
      </c>
      <c r="GE6" s="33">
        <v>21.5</v>
      </c>
      <c r="GF6" s="52">
        <f>IF($C$38&gt;GD6,IF($C$38&lt;GE6,0,1),1)</f>
        <v>0</v>
      </c>
      <c r="GG6" s="52">
        <f>IF($C$38&gt;(GD6-GD6/100*$M$35),IF($C$38&lt;(GE6+GE6/100*$M$35),0,1),1)</f>
        <v>0</v>
      </c>
      <c r="GH6" s="29">
        <f>IF($C$38&gt;(GD6-GD6/100*$FF$34),IF($C$38&lt;(GE6+GE6/100*$FF$34),0,1),1)</f>
        <v>0</v>
      </c>
      <c r="GI6" s="56">
        <v>11</v>
      </c>
      <c r="GJ6" s="33">
        <v>16</v>
      </c>
      <c r="GK6" s="52">
        <f>IF($C$38&gt;GI6,IF($C$38&lt;GJ6,0,1),1)</f>
        <v>0</v>
      </c>
      <c r="GL6" s="52">
        <f>IF($C$38&gt;(GI6-GI6/100*$M$35),IF($C$38&lt;(GJ6+GJ6/100*$M$35),0,1),1)</f>
        <v>0</v>
      </c>
      <c r="GM6" s="29">
        <f>IF($C$38&gt;(GI6-GI6/100*$FF$34),IF($C$38&lt;(GJ6+GJ6/100*$FF$34),0,1),1)</f>
        <v>0</v>
      </c>
      <c r="GN6" s="56">
        <v>5</v>
      </c>
      <c r="GO6" s="33">
        <v>11.5</v>
      </c>
      <c r="GP6" s="52">
        <f>IF($C$38&gt;GN6,IF($C$38&lt;GO6,0,1),1)</f>
        <v>1</v>
      </c>
      <c r="GQ6" s="52">
        <f>IF($C$38&gt;(GN6-GN6/100*$M$35),IF($C$38&lt;(GO6+GO6/100*$M$35),0,1),1)</f>
        <v>1</v>
      </c>
      <c r="GR6" s="29">
        <f>IF($C$38&gt;(GN6-GN6/100*$FF$34),IF($C$38&lt;(GO6+GO6/100*$FF$34),0,1),1)</f>
        <v>1</v>
      </c>
      <c r="GS6" s="56">
        <v>13</v>
      </c>
      <c r="GT6" s="33">
        <v>20</v>
      </c>
      <c r="GU6" s="52">
        <f>IF($C$38&gt;GS6,IF($C$38&lt;GT6,0,1),1)</f>
        <v>0</v>
      </c>
      <c r="GV6" s="52">
        <f>IF($C$38&gt;(GS6-GS6/100*$M$35),IF($C$38&lt;(GT6+GT6/100*$M$35),0,1),1)</f>
        <v>0</v>
      </c>
      <c r="GW6" s="29">
        <f>IF($C$38&gt;(GS6-GS6/100*$FF$34),IF($C$38&lt;(GT6+GT6/100*$FF$34),0,1),1)</f>
        <v>0</v>
      </c>
      <c r="GX6" s="56">
        <v>-1E-05</v>
      </c>
      <c r="GY6" s="33">
        <v>3</v>
      </c>
      <c r="GZ6" s="52">
        <f>IF($C$38&gt;GX6,IF($C$38&lt;GY6,0,1),1)</f>
        <v>1</v>
      </c>
      <c r="HA6" s="52">
        <f>IF($C$38&gt;(GX6-GX6/100*$M$35),IF($C$38&lt;(GY6+GY6/100*$M$35),0,1),1)</f>
        <v>1</v>
      </c>
      <c r="HB6" s="29">
        <f>IF($C$38&gt;(GX6-GX6/100*$FF$34),IF($C$38&lt;(GY6+GY6/100*$FF$34),0,1),1)</f>
        <v>1</v>
      </c>
      <c r="HC6" s="56">
        <v>1</v>
      </c>
      <c r="HD6" s="33">
        <v>4.5</v>
      </c>
      <c r="HE6" s="52">
        <f>IF($C$38&gt;HC6,IF($C$38&lt;HD6,0,1),1)</f>
        <v>1</v>
      </c>
      <c r="HF6" s="52">
        <f>IF($C$38&gt;(HC6-HC6/100*$M$35),IF($C$38&lt;(HD6+HD6/100*$M$35),0,1),1)</f>
        <v>1</v>
      </c>
      <c r="HG6" s="29">
        <f>IF($C$38&gt;(HC6-HC6/100*$FF$34),IF($C$38&lt;(HD6+HD6/100*$FF$34),0,1),1)</f>
        <v>1</v>
      </c>
      <c r="HH6" s="56">
        <v>13.5</v>
      </c>
      <c r="HI6" s="33">
        <v>19.5</v>
      </c>
      <c r="HJ6" s="52">
        <f>IF($C$38&gt;HH6,IF($C$38&lt;HI6,0,1),1)</f>
        <v>0</v>
      </c>
      <c r="HK6" s="52">
        <f>IF($C$38&gt;(HH6-HH6/100*$M$35),IF($C$38&lt;(HI6+HI6/100*$M$35),0,1),1)</f>
        <v>0</v>
      </c>
      <c r="HL6" s="29">
        <f>IF($C$38&gt;(HH6-HH6/100*$FF$34),IF($C$38&lt;(HI6+HI6/100*$FF$34),0,1),1)</f>
        <v>0</v>
      </c>
      <c r="HM6" s="56">
        <v>-1E-05</v>
      </c>
      <c r="HN6" s="33">
        <v>3</v>
      </c>
      <c r="HO6" s="52">
        <f>IF($C$38&gt;HM6,IF($C$38&lt;HN6,0,1),1)</f>
        <v>1</v>
      </c>
      <c r="HP6" s="52">
        <f>IF($C$38&gt;(HM6-HM6/100*$M$35),IF($C$38&lt;(HN6+HN6/100*$M$35),0,1),1)</f>
        <v>1</v>
      </c>
      <c r="HQ6" s="29">
        <f>IF($C$38&gt;(HM6-HM6/100*$FF$34),IF($C$38&lt;(HN6+HN6/100*$FF$34),0,1),1)</f>
        <v>1</v>
      </c>
      <c r="HR6" s="56">
        <v>-1E-05</v>
      </c>
      <c r="HS6" s="33">
        <v>3</v>
      </c>
      <c r="HT6" s="52">
        <f>IF($C$38&gt;HR6,IF($C$38&lt;HS6,0,1),1)</f>
        <v>1</v>
      </c>
      <c r="HU6" s="52">
        <f>IF($C$38&gt;(HR6-HR6/100*$M$35),IF($C$38&lt;(HS6+HS6/100*$M$35),0,1),1)</f>
        <v>1</v>
      </c>
      <c r="HV6" s="29">
        <f>IF($C$38&gt;(HR6-HR6/100*$FF$34),IF($C$38&lt;(HS6+HS6/100*$FF$34),0,1),1)</f>
        <v>1</v>
      </c>
      <c r="HW6" s="56">
        <v>-1E-05</v>
      </c>
      <c r="HX6" s="33">
        <v>3</v>
      </c>
      <c r="HY6" s="52">
        <f>IF($C$38&gt;HW6,IF($C$38&lt;HX6,0,1),1)</f>
        <v>1</v>
      </c>
      <c r="HZ6" s="52">
        <f>IF($C$38&gt;(HW6-HW6/100*$M$35),IF($C$38&lt;(HX6+HX6/100*$M$35),0,1),1)</f>
        <v>1</v>
      </c>
      <c r="IA6" s="29">
        <f>IF($C$38&gt;(HW6-HW6/100*$FF$34),IF($C$38&lt;(HX6+HX6/100*$FF$34),0,1),1)</f>
        <v>1</v>
      </c>
      <c r="IB6" s="56">
        <v>1.5</v>
      </c>
      <c r="IC6" s="33">
        <v>5</v>
      </c>
      <c r="ID6" s="52">
        <f>IF($C$38&gt;IB6,IF($C$38&lt;IC6,0,1),1)</f>
        <v>1</v>
      </c>
      <c r="IE6" s="52">
        <f>IF($C$38&gt;(IB6-IB6/100*$M$35),IF($C$38&lt;(IC6+IC6/100*$M$35),0,1),1)</f>
        <v>1</v>
      </c>
      <c r="IF6" s="29">
        <f>IF($C$38&gt;(IB6-IB6/100*$FF$34),IF($C$38&lt;(IC6+IC6/100*$FF$34),0,1),1)</f>
        <v>1</v>
      </c>
      <c r="IG6" s="56">
        <v>15.5</v>
      </c>
      <c r="IH6" s="33">
        <v>21.5</v>
      </c>
      <c r="II6" s="52">
        <f>IF($C$38&gt;IG6,IF($C$38&lt;IH6,0,1),1)</f>
        <v>0</v>
      </c>
      <c r="IJ6" s="52">
        <f>IF($C$38&gt;(IG6-IG6/100*$M$35),IF($C$38&lt;(IH6+IH6/100*$M$35),0,1),1)</f>
        <v>0</v>
      </c>
      <c r="IK6" s="29">
        <f>IF($C$38&gt;(IG6-IG6/100*$FF$34),IF($C$38&lt;(IH6+IH6/100*$FF$34),0,1),1)</f>
        <v>0</v>
      </c>
      <c r="IL6" s="61"/>
    </row>
    <row r="7" spans="1:246" ht="12" customHeight="1">
      <c r="A7" s="60"/>
      <c r="B7" s="3" t="s">
        <v>67</v>
      </c>
      <c r="C7" s="124"/>
      <c r="D7" s="124"/>
      <c r="E7" s="124"/>
      <c r="F7" s="61"/>
      <c r="H7" s="10" t="s">
        <v>68</v>
      </c>
      <c r="I7" s="3" t="str">
        <f>CONCATENATE("(",DR36," - ",DS36,")")</f>
        <v>(24 - 33,5)</v>
      </c>
      <c r="J7" s="23" t="str">
        <f>IF(DT36=0,"ja","nein")</f>
        <v>nein</v>
      </c>
      <c r="K7" s="114"/>
      <c r="L7" s="10" t="s">
        <v>68</v>
      </c>
      <c r="M7" s="3" t="str">
        <f>CONCATENATE("(",DW36," - ",DX36,")")</f>
        <v>(10 - 25)</v>
      </c>
      <c r="N7" s="23" t="str">
        <f>IF(DY36=0,"ja","nein")</f>
        <v>ja</v>
      </c>
      <c r="O7" s="3"/>
      <c r="P7" s="10" t="s">
        <v>68</v>
      </c>
      <c r="Q7" s="3" t="str">
        <f>CONCATENATE("(",EB36," - ",EC36,")")</f>
        <v>(11,5 - 19)</v>
      </c>
      <c r="R7" s="23" t="str">
        <f>IF(ED36=0,"ja","nein")</f>
        <v>ja</v>
      </c>
      <c r="S7" s="3"/>
      <c r="T7" s="10" t="s">
        <v>69</v>
      </c>
      <c r="U7" s="3" t="str">
        <f>CONCATENATE("(",EG43," - ",EH43,")")</f>
        <v>(5 - 22,5)</v>
      </c>
      <c r="V7" s="23" t="str">
        <f>IF(EI43=0,"ja","nein")</f>
        <v>nein</v>
      </c>
      <c r="X7" s="83"/>
      <c r="Y7" s="128" t="str">
        <f t="shared" si="0"/>
        <v>Al</v>
      </c>
      <c r="Z7" s="56">
        <v>-1E-05</v>
      </c>
      <c r="AA7" s="33">
        <v>1</v>
      </c>
      <c r="AB7" s="52">
        <f>IF($C$39&gt;Z7,IF($C$39&lt;AA7,0,1),1)</f>
        <v>0</v>
      </c>
      <c r="AC7" s="52">
        <f>IF($C$39&gt;(Z7-Z7/100*$M$35),IF($C$39&lt;(AA7+AA7/100*$M$35),0,1),1)</f>
        <v>0</v>
      </c>
      <c r="AD7" s="29">
        <f>IF($C$39&gt;(Z7-Z7/100*$FF$34),IF($C$39&lt;(AA7+AA7/100*$FF$34),0,1),1)</f>
        <v>0</v>
      </c>
      <c r="AE7" s="56">
        <v>-1E-05</v>
      </c>
      <c r="AF7" s="33">
        <v>1</v>
      </c>
      <c r="AG7" s="52">
        <f>IF($C$39&gt;AE7,IF($C$39&lt;AF7,0,1),1)</f>
        <v>0</v>
      </c>
      <c r="AH7" s="52">
        <f>IF($C$39&gt;(AE7-AE7/100*$M$35),IF($C$39&lt;(AF7+AF7/100*$M$35),0,1),1)</f>
        <v>0</v>
      </c>
      <c r="AI7" s="29">
        <f>IF($C$39&gt;(AE7-AE7/100*$FF$34),IF($C$39&lt;(AF7+AF7/100*$FF$34),0,1),1)</f>
        <v>0</v>
      </c>
      <c r="AJ7" s="56">
        <v>-1E-05</v>
      </c>
      <c r="AK7" s="33">
        <v>2.5</v>
      </c>
      <c r="AL7" s="52">
        <f>IF($C$39&gt;AJ7,IF($C$39&lt;AK7,0,1),1)</f>
        <v>0</v>
      </c>
      <c r="AM7" s="52">
        <f>IF($C$39&gt;(AJ7-AJ7/100*$M$35),IF($C$39&lt;(AK7+AK7/100*$M$35),0,1),1)</f>
        <v>0</v>
      </c>
      <c r="AN7" s="29">
        <f>IF($C$39&gt;(AJ7-AJ7/100*$FF$34),IF($C$39&lt;(AK7+AK7/100*$FF$34),0,1),1)</f>
        <v>0</v>
      </c>
      <c r="AO7" s="56">
        <v>0.5</v>
      </c>
      <c r="AP7" s="33">
        <v>3</v>
      </c>
      <c r="AQ7" s="52">
        <f>IF($C$39&gt;AO7,IF($C$39&lt;AP7,0,1),1)</f>
        <v>1</v>
      </c>
      <c r="AR7" s="52">
        <f>IF($C$39&gt;(AO7-AO7/100*$M$35),IF($C$39&lt;(AP7+AP7/100*$M$35),0,1),1)</f>
        <v>1</v>
      </c>
      <c r="AS7" s="29">
        <f>IF($C$39&gt;(AO7-AO7/100*$FF$34),IF($C$39&lt;(AP7+AP7/100*$FF$34),0,1),1)</f>
        <v>1</v>
      </c>
      <c r="AT7" s="56">
        <v>1.5</v>
      </c>
      <c r="AU7" s="33">
        <v>5</v>
      </c>
      <c r="AV7" s="52">
        <f>IF($C$39&gt;AT7,IF($C$39&lt;AU7,0,1),1)</f>
        <v>1</v>
      </c>
      <c r="AW7" s="52">
        <f>IF($C$39&gt;(AT7-AT7/100*$M$35),IF($C$39&lt;(AU7+AU7/100*$M$35),0,1),1)</f>
        <v>1</v>
      </c>
      <c r="AX7" s="29">
        <f>IF($C$39&gt;(AT7-AT7/100*$FF$34),IF($C$39&lt;(AU7+AU7/100*$FF$34),0,1),1)</f>
        <v>1</v>
      </c>
      <c r="AY7" s="56">
        <v>1</v>
      </c>
      <c r="AZ7" s="33">
        <v>4</v>
      </c>
      <c r="BA7" s="52">
        <f>IF($C$39&gt;AY7,IF($C$39&lt;AZ7,0,1),1)</f>
        <v>1</v>
      </c>
      <c r="BB7" s="52">
        <f>IF($C$39&gt;(AY7-AY7/100*$M$35),IF($C$39&lt;(AZ7+AZ7/100*$M$35),0,1),1)</f>
        <v>1</v>
      </c>
      <c r="BC7" s="29">
        <f>IF($C$39&gt;(AY7-AY7/100*$FF$34),IF($C$39&lt;(AZ7+AZ7/100*$FF$34),0,1),1)</f>
        <v>1</v>
      </c>
      <c r="BD7" s="56">
        <v>1</v>
      </c>
      <c r="BE7" s="33">
        <v>4</v>
      </c>
      <c r="BF7" s="52">
        <f>IF($C$39&gt;BD7,IF($C$39&lt;BE7,0,1),1)</f>
        <v>1</v>
      </c>
      <c r="BG7" s="52">
        <f>IF($C$39&gt;(BD7-BD7/100*$M$35),IF($C$39&lt;(BE7+BE7/100*$M$35),0,1),1)</f>
        <v>1</v>
      </c>
      <c r="BH7" s="29">
        <f>IF($C$39&gt;(BD7-BD7/100*$FF$34),IF($C$39&lt;(BE7+BE7/100*$FF$34),0,1),1)</f>
        <v>1</v>
      </c>
      <c r="BI7" s="56">
        <v>2.5</v>
      </c>
      <c r="BJ7" s="33">
        <v>7</v>
      </c>
      <c r="BK7" s="52">
        <f>IF($C$39&gt;BI7,IF($C$39&lt;BJ7,0,1),1)</f>
        <v>1</v>
      </c>
      <c r="BL7" s="52">
        <f>IF($C$39&gt;(BI7-BI7/100*$M$35),IF($C$39&lt;(BJ7+BJ7/100*$M$35),0,1),1)</f>
        <v>1</v>
      </c>
      <c r="BM7" s="29">
        <f>IF($C$39&gt;(BI7-BI7/100*$FF$34),IF($C$39&lt;(BJ7+BJ7/100*$FF$34),0,1),1)</f>
        <v>1</v>
      </c>
      <c r="BN7" s="56">
        <v>2</v>
      </c>
      <c r="BO7" s="33">
        <v>5.5</v>
      </c>
      <c r="BP7" s="52">
        <f>IF($C$39&gt;BN7,IF($C$39&lt;BO7,0,1),1)</f>
        <v>1</v>
      </c>
      <c r="BQ7" s="52">
        <f>IF($C$39&gt;(BN7-BN7/100*$M$35),IF($C$39&lt;(BO7+BO7/100*$M$35),0,1),1)</f>
        <v>1</v>
      </c>
      <c r="BR7" s="29">
        <f>IF($C$39&gt;(BN7-BN7/100*$FF$34),IF($C$39&lt;(BO7+BO7/100*$FF$34),0,1),1)</f>
        <v>1</v>
      </c>
      <c r="BS7" s="56">
        <v>2.5</v>
      </c>
      <c r="BT7" s="33">
        <v>6</v>
      </c>
      <c r="BU7" s="52">
        <f>IF($C$39&gt;BS7,IF($C$39&lt;BT7,0,1),1)</f>
        <v>1</v>
      </c>
      <c r="BV7" s="52">
        <f>IF($C$39&gt;(BS7-BS7/100*$M$35),IF($C$39&lt;(BT7+BT7/100*$M$35),0,1),1)</f>
        <v>1</v>
      </c>
      <c r="BW7" s="29">
        <f>IF($C$39&gt;(BS7-BS7/100*$FF$34),IF($C$39&lt;(BT7+BT7/100*$FF$34),0,1),1)</f>
        <v>1</v>
      </c>
      <c r="BX7" s="56">
        <v>2.5</v>
      </c>
      <c r="BY7" s="33">
        <v>6</v>
      </c>
      <c r="BZ7" s="52">
        <f>IF($C$39&gt;BX7,IF($C$39&lt;BY7,0,1),1)</f>
        <v>1</v>
      </c>
      <c r="CA7" s="52">
        <f>IF($C$39&gt;(BX7-BX7/100*$M$35),IF($C$39&lt;(BY7+BY7/100*$M$35),0,1),1)</f>
        <v>1</v>
      </c>
      <c r="CB7" s="29">
        <f>IF($C$39&gt;(BX7-BX7/100*$FF$34),IF($C$39&lt;(BY7+BY7/100*$FF$34),0,1),1)</f>
        <v>1</v>
      </c>
      <c r="CC7" s="56">
        <v>2.5</v>
      </c>
      <c r="CD7" s="33">
        <v>6</v>
      </c>
      <c r="CE7" s="52">
        <f>IF($C$39&gt;CC7,IF($C$39&lt;CD7,0,1),1)</f>
        <v>1</v>
      </c>
      <c r="CF7" s="52">
        <f>IF($C$39&gt;(CC7-CC7/100*$M$35),IF($C$39&lt;(CD7+CD7/100*$M$35),0,1),1)</f>
        <v>1</v>
      </c>
      <c r="CG7" s="29">
        <f>IF($C$39&gt;(CC7-CC7/100*$FF$34),IF($C$39&lt;(CD7+CD7/100*$FF$34),0,1),1)</f>
        <v>1</v>
      </c>
      <c r="CH7" s="56">
        <v>-1E-05</v>
      </c>
      <c r="CI7" s="33">
        <v>3</v>
      </c>
      <c r="CJ7" s="52">
        <f>IF($C$39&gt;CH7,IF($C$39&lt;CI7,0,1),1)</f>
        <v>0</v>
      </c>
      <c r="CK7" s="52">
        <f>IF($C$39&gt;(CH7-CH7/100*$M$35),IF($C$39&lt;(CI7+CI7/100*$M$35),0,1),1)</f>
        <v>0</v>
      </c>
      <c r="CL7" s="29">
        <f>IF($C$39&gt;(CH7-CH7/100*$FF$34),IF($C$39&lt;(CI7+CI7/100*$FF$34),0,1),1)</f>
        <v>0</v>
      </c>
      <c r="CM7" s="56">
        <v>-1E-05</v>
      </c>
      <c r="CN7" s="33">
        <v>3</v>
      </c>
      <c r="CO7" s="52">
        <f>IF($C$39&gt;CM7,IF($C$39&lt;CN7,0,1),1)</f>
        <v>0</v>
      </c>
      <c r="CP7" s="52">
        <f>IF($C$39&gt;(CM7-CM7/100*$M$35),IF($C$39&lt;(CN7+CN7/100*$M$35),0,1),1)</f>
        <v>0</v>
      </c>
      <c r="CQ7" s="29">
        <f>IF($C$39&gt;(CM7-CM7/100*$FF$34),IF($C$39&lt;(CN7+CN7/100*$FF$34),0,1),1)</f>
        <v>0</v>
      </c>
      <c r="CR7" s="56">
        <v>-1E-05</v>
      </c>
      <c r="CS7" s="33">
        <v>3</v>
      </c>
      <c r="CT7" s="52">
        <f>IF($C$39&gt;CR7,IF($C$39&lt;CS7,0,1),1)</f>
        <v>0</v>
      </c>
      <c r="CU7" s="52">
        <f>IF($C$39&gt;(CR7-CR7/100*$M$35),IF($C$39&lt;(CS7+CS7/100*$M$35),0,1),1)</f>
        <v>0</v>
      </c>
      <c r="CV7" s="29">
        <f>IF($C$39&gt;(CR7-CR7/100*$FF$34),IF($C$39&lt;(CS7+CS7/100*$FF$34),0,1),1)</f>
        <v>0</v>
      </c>
      <c r="CW7" s="56">
        <v>-1E-05</v>
      </c>
      <c r="CX7" s="33">
        <v>3</v>
      </c>
      <c r="CY7" s="52">
        <f>IF($C$39&gt;CW7,IF($C$39&lt;CX7,0,1),1)</f>
        <v>0</v>
      </c>
      <c r="CZ7" s="52">
        <f>IF($C$39&gt;(CW7-CW7/100*$M$35),IF($C$39&lt;(CX7+CX7/100*$M$35),0,1),1)</f>
        <v>0</v>
      </c>
      <c r="DA7" s="29">
        <f>IF($C$39&gt;(CW7-CW7/100*$FF$34),IF($C$39&lt;(CX7+CX7/100*$FF$34),0,1),1)</f>
        <v>0</v>
      </c>
      <c r="DB7" s="56">
        <v>6.5</v>
      </c>
      <c r="DC7" s="33">
        <v>12.5</v>
      </c>
      <c r="DD7" s="52">
        <f>IF($C$39&gt;DB7,IF($C$39&lt;DC7,0,1),1)</f>
        <v>1</v>
      </c>
      <c r="DE7" s="52">
        <f>IF($C$39&gt;(DB7-DB7/100*$M$35),IF($C$39&lt;(DC7+DC7/100*$M$35),0,1),1)</f>
        <v>1</v>
      </c>
      <c r="DF7" s="29">
        <f>IF($C$39&gt;(DB7-DB7/100*$FF$34),IF($C$39&lt;(DC7+DC7/100*$FF$34),0,1),1)</f>
        <v>1</v>
      </c>
      <c r="DG7" s="56">
        <v>3.5</v>
      </c>
      <c r="DH7" s="33">
        <v>9</v>
      </c>
      <c r="DI7" s="52">
        <f>IF($C$39&gt;DG7,IF($C$39&lt;DH7,0,1),1)</f>
        <v>1</v>
      </c>
      <c r="DJ7" s="52">
        <f>IF($C$39&gt;(DG7-DG7/100*$M$35),IF($C$39&lt;(DH7+DH7/100*$M$35),0,1),1)</f>
        <v>1</v>
      </c>
      <c r="DK7" s="29">
        <f>IF($C$39&gt;(DG7-DG7/100*$FF$34),IF($C$39&lt;(DH7+DH7/100*$FF$34),0,1),1)</f>
        <v>1</v>
      </c>
      <c r="DL7" s="56">
        <v>3.5</v>
      </c>
      <c r="DM7" s="33">
        <v>9.5</v>
      </c>
      <c r="DN7" s="52">
        <f>IF($C$39&gt;DL7,IF($C$39&lt;DM7,0,1),1)</f>
        <v>1</v>
      </c>
      <c r="DO7" s="52">
        <f>IF($C$39&gt;(DL7-DL7/100*$M$35),IF($C$39&lt;(DM7+DM7/100*$M$35),0,1),1)</f>
        <v>1</v>
      </c>
      <c r="DP7" s="29">
        <f>IF($C$39&gt;(DL7-DL7/100*$FF$34),IF($C$39&lt;(DM7+DM7/100*$FF$34),0,1),1)</f>
        <v>1</v>
      </c>
      <c r="DQ7" s="56">
        <v>3.5</v>
      </c>
      <c r="DR7" s="33">
        <v>9</v>
      </c>
      <c r="DS7" s="52">
        <f>IF($C$39&gt;DQ7,IF($C$39&lt;DR7,0,1),1)</f>
        <v>1</v>
      </c>
      <c r="DT7" s="52">
        <f>IF($C$39&gt;(DQ7-DQ7/100*$M$35),IF($C$39&lt;(DR7+DR7/100*$M$35),0,1),1)</f>
        <v>1</v>
      </c>
      <c r="DU7" s="29">
        <f>IF($C$39&gt;(DQ7-DQ7/100*$FF$34),IF($C$39&lt;(DR7+DR7/100*$FF$34),0,1),1)</f>
        <v>1</v>
      </c>
      <c r="DV7" s="56">
        <v>8.5</v>
      </c>
      <c r="DW7" s="33">
        <v>14.5</v>
      </c>
      <c r="DX7" s="52">
        <f>IF($C$39&gt;DV7,IF($C$39&lt;DW7,0,1),1)</f>
        <v>1</v>
      </c>
      <c r="DY7" s="52">
        <f>IF($C$39&gt;(DV7-DV7/100*$M$35),IF($C$39&lt;(DW7+DW7/100*$M$35),0,1),1)</f>
        <v>1</v>
      </c>
      <c r="DZ7" s="29">
        <f>IF($C$39&gt;(DV7-DV7/100*$FF$34),IF($C$39&lt;(DW7+DW7/100*$FF$34),0,1),1)</f>
        <v>1</v>
      </c>
      <c r="EA7" s="56">
        <v>8</v>
      </c>
      <c r="EB7" s="33">
        <v>14</v>
      </c>
      <c r="EC7" s="52">
        <f>IF($C$39&gt;EA7,IF($C$39&lt;EB7,0,1),1)</f>
        <v>1</v>
      </c>
      <c r="ED7" s="52">
        <f>IF($C$39&gt;(EA7-EA7/100*$M$35),IF($C$39&lt;(EB7+EB7/100*$M$35),0,1),1)</f>
        <v>1</v>
      </c>
      <c r="EE7" s="29">
        <f>IF($C$39&gt;(EA7-EA7/100*$FF$34),IF($C$39&lt;(EB7+EB7/100*$FF$34),0,1),1)</f>
        <v>1</v>
      </c>
      <c r="EF7" s="56">
        <v>7</v>
      </c>
      <c r="EG7" s="33">
        <v>13.5</v>
      </c>
      <c r="EH7" s="52">
        <f>IF($C$39&gt;EF7,IF($C$39&lt;EG7,0,1),1)</f>
        <v>1</v>
      </c>
      <c r="EI7" s="52">
        <f>IF($C$39&gt;(EF7-EF7/100*$M$35),IF($C$39&lt;(EG7+EG7/100*$M$35),0,1),1)</f>
        <v>1</v>
      </c>
      <c r="EJ7" s="29">
        <f>IF($C$39&gt;(EF7-EF7/100*$FF$34),IF($C$39&lt;(EG7+EG7/100*$FF$34),0,1),1)</f>
        <v>1</v>
      </c>
      <c r="EK7" s="56">
        <v>9.5</v>
      </c>
      <c r="EL7" s="33">
        <v>15</v>
      </c>
      <c r="EM7" s="52">
        <f>IF($C$39&gt;EK7,IF($C$39&lt;EL7,0,1),1)</f>
        <v>1</v>
      </c>
      <c r="EN7" s="52">
        <f>IF($C$39&gt;(EK7-EK7/100*$M$35),IF($C$39&lt;(EL7+EL7/100*$M$35),0,1),1)</f>
        <v>1</v>
      </c>
      <c r="EO7" s="29">
        <f>IF($C$39&gt;(EK7-EK7/100*$FF$34),IF($C$39&lt;(EL7+EL7/100*$FF$34),0,1),1)</f>
        <v>1</v>
      </c>
      <c r="EP7" s="56">
        <v>11</v>
      </c>
      <c r="EQ7" s="33">
        <v>17</v>
      </c>
      <c r="ER7" s="52">
        <f>IF($C$39&gt;EP7,IF($C$39&lt;EQ7,0,1),1)</f>
        <v>1</v>
      </c>
      <c r="ES7" s="52">
        <f>IF($C$39&gt;(EP7-EP7/100*$M$35),IF($C$39&lt;(EQ7+EQ7/100*$M$35),0,1),1)</f>
        <v>1</v>
      </c>
      <c r="ET7" s="29">
        <f>IF($C$39&gt;(EP7-EP7/100*$FF$34),IF($C$39&lt;(EQ7+EQ7/100*$FF$34),0,1),1)</f>
        <v>1</v>
      </c>
      <c r="EU7" s="56">
        <v>6.5</v>
      </c>
      <c r="EV7" s="33">
        <v>13.5</v>
      </c>
      <c r="EW7" s="52">
        <f>IF($C$39&gt;EU7,IF($C$39&lt;EV7,0,1),1)</f>
        <v>1</v>
      </c>
      <c r="EX7" s="52">
        <f>IF($C$39&gt;(EU7-EU7/100*$M$35),IF($C$39&lt;(EV7+EV7/100*$M$35),0,1),1)</f>
        <v>1</v>
      </c>
      <c r="EY7" s="29">
        <f>IF($C$39&gt;(EU7-EU7/100*$FF$34),IF($C$39&lt;(EV7+EV7/100*$FF$34),0,1),1)</f>
        <v>1</v>
      </c>
      <c r="EZ7" s="56">
        <v>8.5</v>
      </c>
      <c r="FA7" s="33">
        <v>15.5</v>
      </c>
      <c r="FB7" s="52">
        <f>IF($C$39&gt;EZ7,IF($C$39&lt;FA7,0,1),1)</f>
        <v>1</v>
      </c>
      <c r="FC7" s="52">
        <f>IF($C$39&gt;(EZ7-EZ7/100*$M$35),IF($C$39&lt;(FA7+FA7/100*$M$35),0,1),1)</f>
        <v>1</v>
      </c>
      <c r="FD7" s="29">
        <f>IF($C$39&gt;(EZ7-EZ7/100*$FF$34),IF($C$39&lt;(FA7+FA7/100*$FF$34),0,1),1)</f>
        <v>1</v>
      </c>
      <c r="FE7" s="56">
        <v>9</v>
      </c>
      <c r="FF7" s="33">
        <v>18</v>
      </c>
      <c r="FG7" s="52">
        <f>IF($C$39&gt;FE7,IF($C$39&lt;FF7,0,1),1)</f>
        <v>1</v>
      </c>
      <c r="FH7" s="52">
        <f>IF($C$39&gt;(FE7-FE7/100*$M$35),IF($C$39&lt;(FF7+FF7/100*$M$35),0,1),1)</f>
        <v>1</v>
      </c>
      <c r="FI7" s="29">
        <f>IF($C$39&gt;(FE7-FE7/100*$FF$34),IF($C$39&lt;(FF7+FF7/100*$FF$34),0,1),1)</f>
        <v>1</v>
      </c>
      <c r="FJ7" s="56">
        <v>8.5</v>
      </c>
      <c r="FK7" s="33">
        <v>15.5</v>
      </c>
      <c r="FL7" s="52">
        <f>IF($C$39&gt;FJ7,IF($C$39&lt;FK7,0,1),1)</f>
        <v>1</v>
      </c>
      <c r="FM7" s="52">
        <f>IF($C$39&gt;(FJ7-FJ7/100*$M$35),IF($C$39&lt;(FK7+FK7/100*$M$35),0,1),1)</f>
        <v>1</v>
      </c>
      <c r="FN7" s="29">
        <f>IF($C$39&gt;(FJ7-FJ7/100*$FF$34),IF($C$39&lt;(FK7+FK7/100*$FF$34),0,1),1)</f>
        <v>1</v>
      </c>
      <c r="FO7" s="56">
        <v>10</v>
      </c>
      <c r="FP7" s="33">
        <v>18.5</v>
      </c>
      <c r="FQ7" s="52">
        <f>IF($C$39&gt;FO7,IF($C$39&lt;FP7,0,1),1)</f>
        <v>1</v>
      </c>
      <c r="FR7" s="52">
        <f>IF($C$39&gt;(FO7-FO7/100*$M$35),IF($C$39&lt;(FP7+FP7/100*$M$35),0,1),1)</f>
        <v>1</v>
      </c>
      <c r="FS7" s="29">
        <f>IF($C$39&gt;(FO7-FO7/100*$FF$34),IF($C$39&lt;(FP7+FP7/100*$FF$34),0,1),1)</f>
        <v>1</v>
      </c>
      <c r="FT7" s="56">
        <v>-1E-05</v>
      </c>
      <c r="FU7" s="33">
        <v>2</v>
      </c>
      <c r="FV7" s="52">
        <f>IF($C$39&gt;FT7,IF($C$39&lt;FU7,0,1),1)</f>
        <v>0</v>
      </c>
      <c r="FW7" s="52">
        <f>IF($C$39&gt;(FT7-FT7/100*$M$35),IF($C$39&lt;(FU7+FU7/100*$M$35),0,1),1)</f>
        <v>0</v>
      </c>
      <c r="FX7" s="29">
        <f>IF($C$39&gt;(FT7-FT7/100*$FF$34),IF($C$39&lt;(FU7+FU7/100*$FF$34),0,1),1)</f>
        <v>0</v>
      </c>
      <c r="FY7" s="56">
        <v>17</v>
      </c>
      <c r="FZ7" s="33">
        <v>24.5</v>
      </c>
      <c r="GA7" s="52">
        <f>IF($C$39&gt;FY7,IF($C$39&lt;FZ7,0,1),1)</f>
        <v>1</v>
      </c>
      <c r="GB7" s="52">
        <f>IF($C$39&gt;(FY7-FY7/100*$M$35),IF($C$39&lt;(FZ7+FZ7/100*$M$35),0,1),1)</f>
        <v>1</v>
      </c>
      <c r="GC7" s="29">
        <f>IF($C$39&gt;(FY7-FY7/100*$FF$34),IF($C$39&lt;(FZ7+FZ7/100*$FF$34),0,1),1)</f>
        <v>1</v>
      </c>
      <c r="GD7" s="56">
        <v>4</v>
      </c>
      <c r="GE7" s="33">
        <v>10</v>
      </c>
      <c r="GF7" s="52">
        <f>IF($C$39&gt;GD7,IF($C$39&lt;GE7,0,1),1)</f>
        <v>1</v>
      </c>
      <c r="GG7" s="52">
        <f>IF($C$39&gt;(GD7-GD7/100*$M$35),IF($C$39&lt;(GE7+GE7/100*$M$35),0,1),1)</f>
        <v>1</v>
      </c>
      <c r="GH7" s="29">
        <f>IF($C$39&gt;(GD7-GD7/100*$FF$34),IF($C$39&lt;(GE7+GE7/100*$FF$34),0,1),1)</f>
        <v>1</v>
      </c>
      <c r="GI7" s="56">
        <v>4</v>
      </c>
      <c r="GJ7" s="33">
        <v>9.5</v>
      </c>
      <c r="GK7" s="52">
        <f>IF($C$39&gt;GI7,IF($C$39&lt;GJ7,0,1),1)</f>
        <v>1</v>
      </c>
      <c r="GL7" s="52">
        <f>IF($C$39&gt;(GI7-GI7/100*$M$35),IF($C$39&lt;(GJ7+GJ7/100*$M$35),0,1),1)</f>
        <v>1</v>
      </c>
      <c r="GM7" s="29">
        <f>IF($C$39&gt;(GI7-GI7/100*$FF$34),IF($C$39&lt;(GJ7+GJ7/100*$FF$34),0,1),1)</f>
        <v>1</v>
      </c>
      <c r="GN7" s="56">
        <v>3.5</v>
      </c>
      <c r="GO7" s="33">
        <v>9</v>
      </c>
      <c r="GP7" s="52">
        <f>IF($C$39&gt;GN7,IF($C$39&lt;GO7,0,1),1)</f>
        <v>1</v>
      </c>
      <c r="GQ7" s="52">
        <f>IF($C$39&gt;(GN7-GN7/100*$M$35),IF($C$39&lt;(GO7+GO7/100*$M$35),0,1),1)</f>
        <v>1</v>
      </c>
      <c r="GR7" s="29">
        <f>IF($C$39&gt;(GN7-GN7/100*$FF$34),IF($C$39&lt;(GO7+GO7/100*$FF$34),0,1),1)</f>
        <v>1</v>
      </c>
      <c r="GS7" s="56">
        <v>7</v>
      </c>
      <c r="GT7" s="33">
        <v>13</v>
      </c>
      <c r="GU7" s="52">
        <f>IF($C$39&gt;GS7,IF($C$39&lt;GT7,0,1),1)</f>
        <v>1</v>
      </c>
      <c r="GV7" s="52">
        <f>IF($C$39&gt;(GS7-GS7/100*$M$35),IF($C$39&lt;(GT7+GT7/100*$M$35),0,1),1)</f>
        <v>1</v>
      </c>
      <c r="GW7" s="29">
        <f>IF($C$39&gt;(GS7-GS7/100*$FF$34),IF($C$39&lt;(GT7+GT7/100*$FF$34),0,1),1)</f>
        <v>1</v>
      </c>
      <c r="GX7" s="56">
        <v>1</v>
      </c>
      <c r="GY7" s="33">
        <v>8</v>
      </c>
      <c r="GZ7" s="52">
        <f>IF($C$39&gt;GX7,IF($C$39&lt;GY7,0,1),1)</f>
        <v>1</v>
      </c>
      <c r="HA7" s="52">
        <f>IF($C$39&gt;(GX7-GX7/100*$M$35),IF($C$39&lt;(GY7+GY7/100*$M$35),0,1),1)</f>
        <v>1</v>
      </c>
      <c r="HB7" s="29">
        <f>IF($C$39&gt;(GX7-GX7/100*$FF$34),IF($C$39&lt;(GY7+GY7/100*$FF$34),0,1),1)</f>
        <v>1</v>
      </c>
      <c r="HC7" s="56">
        <v>8</v>
      </c>
      <c r="HD7" s="33">
        <v>16</v>
      </c>
      <c r="HE7" s="52">
        <f>IF($C$39&gt;HC7,IF($C$39&lt;HD7,0,1),1)</f>
        <v>1</v>
      </c>
      <c r="HF7" s="52">
        <f>IF($C$39&gt;(HC7-HC7/100*$M$35),IF($C$39&lt;(HD7+HD7/100*$M$35),0,1),1)</f>
        <v>1</v>
      </c>
      <c r="HG7" s="29">
        <f>IF($C$39&gt;(HC7-HC7/100*$FF$34),IF($C$39&lt;(HD7+HD7/100*$FF$34),0,1),1)</f>
        <v>1</v>
      </c>
      <c r="HH7" s="56">
        <v>1</v>
      </c>
      <c r="HI7" s="33">
        <v>4</v>
      </c>
      <c r="HJ7" s="52">
        <f>IF($C$39&gt;HH7,IF($C$39&lt;HI7,0,1),1)</f>
        <v>1</v>
      </c>
      <c r="HK7" s="52">
        <f>IF($C$39&gt;(HH7-HH7/100*$M$35),IF($C$39&lt;(HI7+HI7/100*$M$35),0,1),1)</f>
        <v>1</v>
      </c>
      <c r="HL7" s="29">
        <f>IF($C$39&gt;(HH7-HH7/100*$FF$34),IF($C$39&lt;(HI7+HI7/100*$FF$34),0,1),1)</f>
        <v>1</v>
      </c>
      <c r="HM7" s="56">
        <v>12</v>
      </c>
      <c r="HN7" s="33">
        <v>18</v>
      </c>
      <c r="HO7" s="52">
        <f>IF($C$39&gt;HM7,IF($C$39&lt;HN7,0,1),1)</f>
        <v>1</v>
      </c>
      <c r="HP7" s="52">
        <f>IF($C$39&gt;(HM7-HM7/100*$M$35),IF($C$39&lt;(HN7+HN7/100*$M$35),0,1),1)</f>
        <v>1</v>
      </c>
      <c r="HQ7" s="29">
        <f>IF($C$39&gt;(HM7-HM7/100*$FF$34),IF($C$39&lt;(HN7+HN7/100*$FF$34),0,1),1)</f>
        <v>1</v>
      </c>
      <c r="HR7" s="56">
        <v>15</v>
      </c>
      <c r="HS7" s="33">
        <v>21</v>
      </c>
      <c r="HT7" s="52">
        <f>IF($C$39&gt;HR7,IF($C$39&lt;HS7,0,1),1)</f>
        <v>1</v>
      </c>
      <c r="HU7" s="52">
        <f>IF($C$39&gt;(HR7-HR7/100*$M$35),IF($C$39&lt;(HS7+HS7/100*$M$35),0,1),1)</f>
        <v>1</v>
      </c>
      <c r="HV7" s="29">
        <f>IF($C$39&gt;(HR7-HR7/100*$FF$34),IF($C$39&lt;(HS7+HS7/100*$FF$34),0,1),1)</f>
        <v>1</v>
      </c>
      <c r="HW7" s="56">
        <v>10</v>
      </c>
      <c r="HX7" s="33">
        <v>16.5</v>
      </c>
      <c r="HY7" s="52">
        <f>IF($C$39&gt;HW7,IF($C$39&lt;HX7,0,1),1)</f>
        <v>1</v>
      </c>
      <c r="HZ7" s="52">
        <f>IF($C$39&gt;(HW7-HW7/100*$M$35),IF($C$39&lt;(HX7+HX7/100*$M$35),0,1),1)</f>
        <v>1</v>
      </c>
      <c r="IA7" s="29">
        <f>IF($C$39&gt;(HW7-HW7/100*$FF$34),IF($C$39&lt;(HX7+HX7/100*$FF$34),0,1),1)</f>
        <v>1</v>
      </c>
      <c r="IB7" s="56">
        <v>9</v>
      </c>
      <c r="IC7" s="33">
        <v>15</v>
      </c>
      <c r="ID7" s="52">
        <f>IF($C$39&gt;IB7,IF($C$39&lt;IC7,0,1),1)</f>
        <v>1</v>
      </c>
      <c r="IE7" s="52">
        <f>IF($C$39&gt;(IB7-IB7/100*$M$35),IF($C$39&lt;(IC7+IC7/100*$M$35),0,1),1)</f>
        <v>1</v>
      </c>
      <c r="IF7" s="29">
        <f>IF($C$39&gt;(IB7-IB7/100*$FF$34),IF($C$39&lt;(IC7+IC7/100*$FF$34),0,1),1)</f>
        <v>1</v>
      </c>
      <c r="IG7" s="56">
        <v>-1E-05</v>
      </c>
      <c r="IH7" s="33">
        <v>3.5</v>
      </c>
      <c r="II7" s="52">
        <f>IF($C$39&gt;IG7,IF($C$39&lt;IH7,0,1),1)</f>
        <v>0</v>
      </c>
      <c r="IJ7" s="52">
        <f>IF($C$39&gt;(IG7-IG7/100*$M$35),IF($C$39&lt;(IH7+IH7/100*$M$35),0,1),1)</f>
        <v>0</v>
      </c>
      <c r="IK7" s="29">
        <f>IF($C$39&gt;(IG7-IG7/100*$FF$34),IF($C$39&lt;(IH7+IH7/100*$FF$34),0,1),1)</f>
        <v>0</v>
      </c>
      <c r="IL7" s="61"/>
    </row>
    <row r="8" spans="1:246" ht="12" customHeight="1">
      <c r="A8" s="60"/>
      <c r="B8" s="3" t="s">
        <v>70</v>
      </c>
      <c r="C8" s="124"/>
      <c r="D8" s="124"/>
      <c r="E8" s="124"/>
      <c r="F8" s="61"/>
      <c r="H8" s="10" t="s">
        <v>71</v>
      </c>
      <c r="I8" s="3" t="str">
        <f>CONCATENATE("(&lt; ",BR44,")")</f>
        <v>(&lt; 6)</v>
      </c>
      <c r="J8" s="23" t="str">
        <f>IF(C45=0,"-",IF(C45&gt;BR44,"nein","ja"))</f>
        <v>ja</v>
      </c>
      <c r="K8" s="114"/>
      <c r="L8" s="10" t="s">
        <v>72</v>
      </c>
      <c r="M8" s="3" t="str">
        <f>CONCATENATE("(",DW43," - ",DX43,")")</f>
        <v>(3 - 17)</v>
      </c>
      <c r="N8" s="23" t="str">
        <f>IF(DY43=0,"ja","nein")</f>
        <v>nein</v>
      </c>
      <c r="O8" s="3"/>
      <c r="P8" s="10" t="s">
        <v>73</v>
      </c>
      <c r="Q8" s="3" t="str">
        <f>CONCATENATE("(",EB41," - ",EC41,")")</f>
        <v>(5 - 13)</v>
      </c>
      <c r="R8" s="23" t="str">
        <f>IF(ED41=0,"ja","nein")</f>
        <v>ja</v>
      </c>
      <c r="S8" s="3"/>
      <c r="T8" s="10" t="s">
        <v>73</v>
      </c>
      <c r="U8" s="3" t="str">
        <f>CONCATENATE("(",EG41," - ",EH41,")")</f>
        <v>(5 - 12,5)</v>
      </c>
      <c r="V8" s="23" t="str">
        <f>IF(EI41=0,"ja","nein")</f>
        <v>ja</v>
      </c>
      <c r="X8" s="83"/>
      <c r="Y8" s="128" t="str">
        <f t="shared" si="0"/>
        <v>Si</v>
      </c>
      <c r="Z8" s="56">
        <v>16</v>
      </c>
      <c r="AA8" s="33">
        <v>22</v>
      </c>
      <c r="AB8" s="52">
        <f>IF($C$40&gt;Z8,IF($C$40&lt;AA8,0,1),1)</f>
        <v>1</v>
      </c>
      <c r="AC8" s="52">
        <f>IF($C$40&gt;(Z8-Z8/100*$M$35),IF($C$40&lt;(AA8+AA8/100*$M$35),0,1),1)</f>
        <v>1</v>
      </c>
      <c r="AD8" s="29">
        <f>IF($C$40&gt;(Z8-Z8/100*$FF$34),IF($C$40&lt;(AA8+AA8/100*$FF$34),0,1),1)</f>
        <v>1</v>
      </c>
      <c r="AE8" s="56">
        <v>14.5</v>
      </c>
      <c r="AF8" s="33">
        <v>20.5</v>
      </c>
      <c r="AG8" s="52">
        <f>IF($C$40&gt;AE8,IF($C$40&lt;AF8,0,1),1)</f>
        <v>1</v>
      </c>
      <c r="AH8" s="52">
        <f>IF($C$40&gt;(AE8-AE8/100*$M$35),IF($C$40&lt;(AF8+AF8/100*$M$35),0,1),1)</f>
        <v>1</v>
      </c>
      <c r="AI8" s="29">
        <f>IF($C$40&gt;(AE8-AE8/100*$FF$34),IF($C$40&lt;(AF8+AF8/100*$FF$34),0,1),1)</f>
        <v>1</v>
      </c>
      <c r="AJ8" s="56">
        <v>23</v>
      </c>
      <c r="AK8" s="33">
        <v>29</v>
      </c>
      <c r="AL8" s="52">
        <f>IF($C$40&gt;AJ8,IF($C$40&lt;AK8,0,1),1)</f>
        <v>0</v>
      </c>
      <c r="AM8" s="52">
        <f>IF($C$40&gt;(AJ8-AJ8/100*$M$35),IF($C$40&lt;(AK8+AK8/100*$M$35),0,1),1)</f>
        <v>0</v>
      </c>
      <c r="AN8" s="29">
        <f>IF($C$40&gt;(AJ8-AJ8/100*$FF$34),IF($C$40&lt;(AK8+AK8/100*$FF$34),0,1),1)</f>
        <v>0</v>
      </c>
      <c r="AO8" s="56">
        <v>22</v>
      </c>
      <c r="AP8" s="33">
        <v>28</v>
      </c>
      <c r="AQ8" s="52">
        <f>IF($C$40&gt;AO8,IF($C$40&lt;AP8,0,1),1)</f>
        <v>1</v>
      </c>
      <c r="AR8" s="52">
        <f>IF($C$40&gt;(AO8-AO8/100*$M$35),IF($C$40&lt;(AP8+AP8/100*$M$35),0,1),1)</f>
        <v>1</v>
      </c>
      <c r="AS8" s="29">
        <f>IF($C$40&gt;(AO8-AO8/100*$FF$34),IF($C$40&lt;(AP8+AP8/100*$FF$34),0,1),1)</f>
        <v>1</v>
      </c>
      <c r="AT8" s="56">
        <v>21</v>
      </c>
      <c r="AU8" s="33">
        <v>27</v>
      </c>
      <c r="AV8" s="52">
        <f>IF($C$40&gt;AT8,IF($C$40&lt;AU8,0,1),1)</f>
        <v>1</v>
      </c>
      <c r="AW8" s="52">
        <f>IF($C$40&gt;(AT8-AT8/100*$M$35),IF($C$40&lt;(AU8+AU8/100*$M$35),0,1),1)</f>
        <v>1</v>
      </c>
      <c r="AX8" s="29">
        <f>IF($C$40&gt;(AT8-AT8/100*$FF$34),IF($C$40&lt;(AU8+AU8/100*$FF$34),0,1),1)</f>
        <v>1</v>
      </c>
      <c r="AY8" s="56">
        <v>21</v>
      </c>
      <c r="AZ8" s="33">
        <v>27</v>
      </c>
      <c r="BA8" s="52">
        <f>IF($C$40&gt;AY8,IF($C$40&lt;AZ8,0,1),1)</f>
        <v>1</v>
      </c>
      <c r="BB8" s="52">
        <f>IF($C$40&gt;(AY8-AY8/100*$M$35),IF($C$40&lt;(AZ8+AZ8/100*$M$35),0,1),1)</f>
        <v>1</v>
      </c>
      <c r="BC8" s="29">
        <f>IF($C$40&gt;(AY8-AY8/100*$FF$34),IF($C$40&lt;(AZ8+AZ8/100*$FF$34),0,1),1)</f>
        <v>1</v>
      </c>
      <c r="BD8" s="56">
        <v>20.5</v>
      </c>
      <c r="BE8" s="33">
        <v>26.5</v>
      </c>
      <c r="BF8" s="52">
        <f>IF($C$40&gt;BD8,IF($C$40&lt;BE8,0,1),1)</f>
        <v>1</v>
      </c>
      <c r="BG8" s="52">
        <f>IF($C$40&gt;(BD8-BD8/100*$M$35),IF($C$40&lt;(BE8+BE8/100*$M$35),0,1),1)</f>
        <v>1</v>
      </c>
      <c r="BH8" s="29">
        <f>IF($C$40&gt;(BD8-BD8/100*$FF$34),IF($C$40&lt;(BE8+BE8/100*$FF$34),0,1),1)</f>
        <v>1</v>
      </c>
      <c r="BI8" s="56">
        <v>19.5</v>
      </c>
      <c r="BJ8" s="33">
        <v>25.5</v>
      </c>
      <c r="BK8" s="52">
        <f>IF($C$40&gt;BI8,IF($C$40&lt;BJ8,0,1),1)</f>
        <v>1</v>
      </c>
      <c r="BL8" s="52">
        <f>IF($C$40&gt;(BI8-BI8/100*$M$35),IF($C$40&lt;(BJ8+BJ8/100*$M$35),0,1),1)</f>
        <v>1</v>
      </c>
      <c r="BM8" s="29">
        <f>IF($C$40&gt;(BI8-BI8/100*$FF$34),IF($C$40&lt;(BJ8+BJ8/100*$FF$34),0,1),1)</f>
        <v>1</v>
      </c>
      <c r="BN8" s="56">
        <v>20</v>
      </c>
      <c r="BO8" s="33">
        <v>26</v>
      </c>
      <c r="BP8" s="52">
        <f>IF($C$40&gt;BN8,IF($C$40&lt;BO8,0,1),1)</f>
        <v>1</v>
      </c>
      <c r="BQ8" s="52">
        <f>IF($C$40&gt;(BN8-BN8/100*$M$35),IF($C$40&lt;(BO8+BO8/100*$M$35),0,1),1)</f>
        <v>1</v>
      </c>
      <c r="BR8" s="29">
        <f>IF($C$40&gt;(BN8-BN8/100*$FF$34),IF($C$40&lt;(BO8+BO8/100*$FF$34),0,1),1)</f>
        <v>1</v>
      </c>
      <c r="BS8" s="56">
        <v>18.5</v>
      </c>
      <c r="BT8" s="33">
        <v>24.5</v>
      </c>
      <c r="BU8" s="52">
        <f>IF($C$40&gt;BS8,IF($C$40&lt;BT8,0,1),1)</f>
        <v>1</v>
      </c>
      <c r="BV8" s="52">
        <f>IF($C$40&gt;(BS8-BS8/100*$M$35),IF($C$40&lt;(BT8+BT8/100*$M$35),0,1),1)</f>
        <v>1</v>
      </c>
      <c r="BW8" s="29">
        <f>IF($C$40&gt;(BS8-BS8/100*$FF$34),IF($C$40&lt;(BT8+BT8/100*$FF$34),0,1),1)</f>
        <v>1</v>
      </c>
      <c r="BX8" s="56">
        <v>20.5</v>
      </c>
      <c r="BY8" s="33">
        <v>26.5</v>
      </c>
      <c r="BZ8" s="52">
        <f>IF($C$40&gt;BX8,IF($C$40&lt;BY8,0,1),1)</f>
        <v>1</v>
      </c>
      <c r="CA8" s="52">
        <f>IF($C$40&gt;(BX8-BX8/100*$M$35),IF($C$40&lt;(BY8+BY8/100*$M$35),0,1),1)</f>
        <v>1</v>
      </c>
      <c r="CB8" s="29">
        <f>IF($C$40&gt;(BX8-BX8/100*$FF$34),IF($C$40&lt;(BY8+BY8/100*$FF$34),0,1),1)</f>
        <v>1</v>
      </c>
      <c r="CC8" s="56">
        <v>19.5</v>
      </c>
      <c r="CD8" s="33">
        <v>25.5</v>
      </c>
      <c r="CE8" s="52">
        <f>IF($C$40&gt;CC8,IF($C$40&lt;CD8,0,1),1)</f>
        <v>1</v>
      </c>
      <c r="CF8" s="52">
        <f>IF($C$40&gt;(CC8-CC8/100*$M$35),IF($C$40&lt;(CD8+CD8/100*$M$35),0,1),1)</f>
        <v>1</v>
      </c>
      <c r="CG8" s="29">
        <f>IF($C$40&gt;(CC8-CC8/100*$FF$34),IF($C$40&lt;(CD8+CD8/100*$FF$34),0,1),1)</f>
        <v>1</v>
      </c>
      <c r="CH8" s="56">
        <v>25</v>
      </c>
      <c r="CI8" s="33">
        <v>31</v>
      </c>
      <c r="CJ8" s="52">
        <f>IF($C$40&gt;CH8,IF($C$40&lt;CI8,0,1),1)</f>
        <v>0</v>
      </c>
      <c r="CK8" s="52">
        <f>IF($C$40&gt;(CH8-CH8/100*$M$35),IF($C$40&lt;(CI8+CI8/100*$M$35),0,1),1)</f>
        <v>0</v>
      </c>
      <c r="CL8" s="29">
        <f>IF($C$40&gt;(CH8-CH8/100*$FF$34),IF($C$40&lt;(CI8+CI8/100*$FF$34),0,1),1)</f>
        <v>0</v>
      </c>
      <c r="CM8" s="56">
        <v>23.5</v>
      </c>
      <c r="CN8" s="33">
        <v>29.5</v>
      </c>
      <c r="CO8" s="52">
        <f>IF($C$40&gt;CM8,IF($C$40&lt;CN8,0,1),1)</f>
        <v>0</v>
      </c>
      <c r="CP8" s="52">
        <f>IF($C$40&gt;(CM8-CM8/100*$M$35),IF($C$40&lt;(CN8+CN8/100*$M$35),0,1),1)</f>
        <v>0</v>
      </c>
      <c r="CQ8" s="29">
        <f>IF($C$40&gt;(CM8-CM8/100*$FF$34),IF($C$40&lt;(CN8+CN8/100*$FF$34),0,1),1)</f>
        <v>0</v>
      </c>
      <c r="CR8" s="56">
        <v>22</v>
      </c>
      <c r="CS8" s="33">
        <v>28</v>
      </c>
      <c r="CT8" s="52">
        <f>IF($C$40&gt;CR8,IF($C$40&lt;CS8,0,1),1)</f>
        <v>1</v>
      </c>
      <c r="CU8" s="52">
        <f>IF($C$40&gt;(CR8-CR8/100*$M$35),IF($C$40&lt;(CS8+CS8/100*$M$35),0,1),1)</f>
        <v>1</v>
      </c>
      <c r="CV8" s="29">
        <f>IF($C$40&gt;(CR8-CR8/100*$FF$34),IF($C$40&lt;(CS8+CS8/100*$FF$34),0,1),1)</f>
        <v>1</v>
      </c>
      <c r="CW8" s="56">
        <v>20.5</v>
      </c>
      <c r="CX8" s="33">
        <v>26.5</v>
      </c>
      <c r="CY8" s="52">
        <f>IF($C$40&gt;CW8,IF($C$40&lt;CX8,0,1),1)</f>
        <v>1</v>
      </c>
      <c r="CZ8" s="52">
        <f>IF($C$40&gt;(CW8-CW8/100*$M$35),IF($C$40&lt;(CX8+CX8/100*$M$35),0,1),1)</f>
        <v>1</v>
      </c>
      <c r="DA8" s="29">
        <f>IF($C$40&gt;(CW8-CW8/100*$FF$34),IF($C$40&lt;(CX8+CX8/100*$FF$34),0,1),1)</f>
        <v>1</v>
      </c>
      <c r="DB8" s="56">
        <v>17</v>
      </c>
      <c r="DC8" s="33">
        <v>23</v>
      </c>
      <c r="DD8" s="52">
        <f>IF($C$40&gt;DB8,IF($C$40&lt;DC8,0,1),1)</f>
        <v>1</v>
      </c>
      <c r="DE8" s="52">
        <f>IF($C$40&gt;(DB8-DB8/100*$M$35),IF($C$40&lt;(DC8+DC8/100*$M$35),0,1),1)</f>
        <v>1</v>
      </c>
      <c r="DF8" s="29">
        <f>IF($C$40&gt;(DB8-DB8/100*$FF$34),IF($C$40&lt;(DC8+DC8/100*$FF$34),0,1),1)</f>
        <v>1</v>
      </c>
      <c r="DG8" s="56">
        <v>16</v>
      </c>
      <c r="DH8" s="33">
        <v>22</v>
      </c>
      <c r="DI8" s="52">
        <f>IF($C$40&gt;DG8,IF($C$40&lt;DH8,0,1),1)</f>
        <v>1</v>
      </c>
      <c r="DJ8" s="52">
        <f>IF($C$40&gt;(DG8-DG8/100*$M$35),IF($C$40&lt;(DH8+DH8/100*$M$35),0,1),1)</f>
        <v>1</v>
      </c>
      <c r="DK8" s="29">
        <f>IF($C$40&gt;(DG8-DG8/100*$FF$34),IF($C$40&lt;(DH8+DH8/100*$FF$34),0,1),1)</f>
        <v>1</v>
      </c>
      <c r="DL8" s="56">
        <v>17</v>
      </c>
      <c r="DM8" s="33">
        <v>23</v>
      </c>
      <c r="DN8" s="52">
        <f>IF($C$40&gt;DL8,IF($C$40&lt;DM8,0,1),1)</f>
        <v>1</v>
      </c>
      <c r="DO8" s="52">
        <f>IF($C$40&gt;(DL8-DL8/100*$M$35),IF($C$40&lt;(DM8+DM8/100*$M$35),0,1),1)</f>
        <v>1</v>
      </c>
      <c r="DP8" s="29">
        <f>IF($C$40&gt;(DL8-DL8/100*$FF$34),IF($C$40&lt;(DM8+DM8/100*$FF$34),0,1),1)</f>
        <v>1</v>
      </c>
      <c r="DQ8" s="56">
        <v>16</v>
      </c>
      <c r="DR8" s="33">
        <v>22</v>
      </c>
      <c r="DS8" s="52">
        <f>IF($C$40&gt;DQ8,IF($C$40&lt;DR8,0,1),1)</f>
        <v>1</v>
      </c>
      <c r="DT8" s="52">
        <f>IF($C$40&gt;(DQ8-DQ8/100*$M$35),IF($C$40&lt;(DR8+DR8/100*$M$35),0,1),1)</f>
        <v>1</v>
      </c>
      <c r="DU8" s="29">
        <f>IF($C$40&gt;(DQ8-DQ8/100*$FF$34),IF($C$40&lt;(DR8+DR8/100*$FF$34),0,1),1)</f>
        <v>1</v>
      </c>
      <c r="DV8" s="56">
        <v>17</v>
      </c>
      <c r="DW8" s="33">
        <v>23</v>
      </c>
      <c r="DX8" s="52">
        <f>IF($C$40&gt;DV8,IF($C$40&lt;DW8,0,1),1)</f>
        <v>1</v>
      </c>
      <c r="DY8" s="52">
        <f>IF($C$40&gt;(DV8-DV8/100*$M$35),IF($C$40&lt;(DW8+DW8/100*$M$35),0,1),1)</f>
        <v>1</v>
      </c>
      <c r="DZ8" s="29">
        <f>IF($C$40&gt;(DV8-DV8/100*$FF$34),IF($C$40&lt;(DW8+DW8/100*$FF$34),0,1),1)</f>
        <v>1</v>
      </c>
      <c r="EA8" s="56">
        <v>17</v>
      </c>
      <c r="EB8" s="33">
        <v>23</v>
      </c>
      <c r="EC8" s="52">
        <f>IF($C$40&gt;EA8,IF($C$40&lt;EB8,0,1),1)</f>
        <v>1</v>
      </c>
      <c r="ED8" s="52">
        <f>IF($C$40&gt;(EA8-EA8/100*$M$35),IF($C$40&lt;(EB8+EB8/100*$M$35),0,1),1)</f>
        <v>1</v>
      </c>
      <c r="EE8" s="29">
        <f>IF($C$40&gt;(EA8-EA8/100*$FF$34),IF($C$40&lt;(EB8+EB8/100*$FF$34),0,1),1)</f>
        <v>1</v>
      </c>
      <c r="EF8" s="56">
        <v>16</v>
      </c>
      <c r="EG8" s="33">
        <v>22</v>
      </c>
      <c r="EH8" s="52">
        <f>IF($C$40&gt;EF8,IF($C$40&lt;EG8,0,1),1)</f>
        <v>1</v>
      </c>
      <c r="EI8" s="52">
        <f>IF($C$40&gt;(EF8-EF8/100*$M$35),IF($C$40&lt;(EG8+EG8/100*$M$35),0,1),1)</f>
        <v>1</v>
      </c>
      <c r="EJ8" s="29">
        <f>IF($C$40&gt;(EF8-EF8/100*$FF$34),IF($C$40&lt;(EG8+EG8/100*$FF$34),0,1),1)</f>
        <v>1</v>
      </c>
      <c r="EK8" s="56">
        <v>13.5</v>
      </c>
      <c r="EL8" s="33">
        <v>19.5</v>
      </c>
      <c r="EM8" s="52">
        <f>IF($C$40&gt;EK8,IF($C$40&lt;EL8,0,1),1)</f>
        <v>1</v>
      </c>
      <c r="EN8" s="52">
        <f>IF($C$40&gt;(EK8-EK8/100*$M$35),IF($C$40&lt;(EL8+EL8/100*$M$35),0,1),1)</f>
        <v>1</v>
      </c>
      <c r="EO8" s="29">
        <f>IF($C$40&gt;(EK8-EK8/100*$FF$34),IF($C$40&lt;(EL8+EL8/100*$FF$34),0,1),1)</f>
        <v>1</v>
      </c>
      <c r="EP8" s="56">
        <v>11.5</v>
      </c>
      <c r="EQ8" s="33">
        <v>17.5</v>
      </c>
      <c r="ER8" s="52">
        <f>IF($C$40&gt;EP8,IF($C$40&lt;EQ8,0,1),1)</f>
        <v>1</v>
      </c>
      <c r="ES8" s="52">
        <f>IF($C$40&gt;(EP8-EP8/100*$M$35),IF($C$40&lt;(EQ8+EQ8/100*$M$35),0,1),1)</f>
        <v>1</v>
      </c>
      <c r="ET8" s="29">
        <f>IF($C$40&gt;(EP8-EP8/100*$FF$34),IF($C$40&lt;(EQ8+EQ8/100*$FF$34),0,1),1)</f>
        <v>1</v>
      </c>
      <c r="EU8" s="56">
        <v>14</v>
      </c>
      <c r="EV8" s="33">
        <v>20</v>
      </c>
      <c r="EW8" s="52">
        <f>IF($C$40&gt;EU8,IF($C$40&lt;EV8,0,1),1)</f>
        <v>1</v>
      </c>
      <c r="EX8" s="52">
        <f>IF($C$40&gt;(EU8-EU8/100*$M$35),IF($C$40&lt;(EV8+EV8/100*$M$35),0,1),1)</f>
        <v>1</v>
      </c>
      <c r="EY8" s="29">
        <f>IF($C$40&gt;(EU8-EU8/100*$FF$34),IF($C$40&lt;(EV8+EV8/100*$FF$34),0,1),1)</f>
        <v>1</v>
      </c>
      <c r="EZ8" s="56">
        <v>12</v>
      </c>
      <c r="FA8" s="33">
        <v>18</v>
      </c>
      <c r="FB8" s="52">
        <f>IF($C$40&gt;EZ8,IF($C$40&lt;FA8,0,1),1)</f>
        <v>1</v>
      </c>
      <c r="FC8" s="52">
        <f>IF($C$40&gt;(EZ8-EZ8/100*$M$35),IF($C$40&lt;(FA8+FA8/100*$M$35),0,1),1)</f>
        <v>1</v>
      </c>
      <c r="FD8" s="29">
        <f>IF($C$40&gt;(EZ8-EZ8/100*$FF$34),IF($C$40&lt;(FA8+FA8/100*$FF$34),0,1),1)</f>
        <v>1</v>
      </c>
      <c r="FE8" s="56">
        <v>10</v>
      </c>
      <c r="FF8" s="33">
        <v>16</v>
      </c>
      <c r="FG8" s="52">
        <f>IF($C$40&gt;FE8,IF($C$40&lt;FF8,0,1),1)</f>
        <v>1</v>
      </c>
      <c r="FH8" s="52">
        <f>IF($C$40&gt;(FE8-FE8/100*$M$35),IF($C$40&lt;(FF8+FF8/100*$M$35),0,1),1)</f>
        <v>1</v>
      </c>
      <c r="FI8" s="29">
        <f>IF($C$40&gt;(FE8-FE8/100*$FF$34),IF($C$40&lt;(FF8+FF8/100*$FF$34),0,1),1)</f>
        <v>1</v>
      </c>
      <c r="FJ8" s="56">
        <v>11.5</v>
      </c>
      <c r="FK8" s="33">
        <v>17.5</v>
      </c>
      <c r="FL8" s="52">
        <f>IF($C$40&gt;FJ8,IF($C$40&lt;FK8,0,1),1)</f>
        <v>1</v>
      </c>
      <c r="FM8" s="52">
        <f>IF($C$40&gt;(FJ8-FJ8/100*$M$35),IF($C$40&lt;(FK8+FK8/100*$M$35),0,1),1)</f>
        <v>1</v>
      </c>
      <c r="FN8" s="29">
        <f>IF($C$40&gt;(FJ8-FJ8/100*$FF$34),IF($C$40&lt;(FK8+FK8/100*$FF$34),0,1),1)</f>
        <v>1</v>
      </c>
      <c r="FO8" s="56">
        <v>9.5</v>
      </c>
      <c r="FP8" s="33">
        <v>15.5</v>
      </c>
      <c r="FQ8" s="52">
        <f>IF($C$40&gt;FO8,IF($C$40&lt;FP8,0,1),1)</f>
        <v>1</v>
      </c>
      <c r="FR8" s="52">
        <f>IF($C$40&gt;(FO8-FO8/100*$M$35),IF($C$40&lt;(FP8+FP8/100*$M$35),0,1),1)</f>
        <v>1</v>
      </c>
      <c r="FS8" s="29">
        <f>IF($C$40&gt;(FO8-FO8/100*$FF$34),IF($C$40&lt;(FP8+FP8/100*$FF$34),0,1),1)</f>
        <v>1</v>
      </c>
      <c r="FT8" s="56">
        <v>28</v>
      </c>
      <c r="FU8" s="33">
        <v>34</v>
      </c>
      <c r="FV8" s="52">
        <f>IF($C$40&gt;FT8,IF($C$40&lt;FU8,0,1),1)</f>
        <v>0</v>
      </c>
      <c r="FW8" s="52">
        <f>IF($C$40&gt;(FT8-FT8/100*$M$35),IF($C$40&lt;(FU8+FU8/100*$M$35),0,1),1)</f>
        <v>0</v>
      </c>
      <c r="FX8" s="29">
        <f>IF($C$40&gt;(FT8-FT8/100*$FF$34),IF($C$40&lt;(FU8+FU8/100*$FF$34),0,1),1)</f>
        <v>0</v>
      </c>
      <c r="FY8" s="56">
        <v>19</v>
      </c>
      <c r="FZ8" s="33">
        <v>27</v>
      </c>
      <c r="GA8" s="52">
        <f>IF($C$40&gt;FY8,IF($C$40&lt;FZ8,0,1),1)</f>
        <v>1</v>
      </c>
      <c r="GB8" s="52">
        <f>IF($C$40&gt;(FY8-FY8/100*$M$35),IF($C$40&lt;(FZ8+FZ8/100*$M$35),0,1),1)</f>
        <v>1</v>
      </c>
      <c r="GC8" s="29">
        <f>IF($C$40&gt;(FY8-FY8/100*$FF$34),IF($C$40&lt;(FZ8+FZ8/100*$FF$34),0,1),1)</f>
        <v>1</v>
      </c>
      <c r="GD8" s="56">
        <v>18</v>
      </c>
      <c r="GE8" s="33">
        <v>24</v>
      </c>
      <c r="GF8" s="52">
        <f>IF($C$40&gt;GD8,IF($C$40&lt;GE8,0,1),1)</f>
        <v>1</v>
      </c>
      <c r="GG8" s="52">
        <f>IF($C$40&gt;(GD8-GD8/100*$M$35),IF($C$40&lt;(GE8+GE8/100*$M$35),0,1),1)</f>
        <v>1</v>
      </c>
      <c r="GH8" s="29">
        <f>IF($C$40&gt;(GD8-GD8/100*$FF$34),IF($C$40&lt;(GE8+GE8/100*$FF$34),0,1),1)</f>
        <v>1</v>
      </c>
      <c r="GI8" s="56">
        <v>17</v>
      </c>
      <c r="GJ8" s="33">
        <v>23</v>
      </c>
      <c r="GK8" s="52">
        <f>IF($C$40&gt;GI8,IF($C$40&lt;GJ8,0,1),1)</f>
        <v>1</v>
      </c>
      <c r="GL8" s="52">
        <f>IF($C$40&gt;(GI8-GI8/100*$M$35),IF($C$40&lt;(GJ8+GJ8/100*$M$35),0,1),1)</f>
        <v>1</v>
      </c>
      <c r="GM8" s="29">
        <f>IF($C$40&gt;(GI8-GI8/100*$FF$34),IF($C$40&lt;(GJ8+GJ8/100*$FF$34),0,1),1)</f>
        <v>1</v>
      </c>
      <c r="GN8" s="56">
        <v>16</v>
      </c>
      <c r="GO8" s="33">
        <v>22</v>
      </c>
      <c r="GP8" s="52">
        <f>IF($C$40&gt;GN8,IF($C$40&lt;GO8,0,1),1)</f>
        <v>1</v>
      </c>
      <c r="GQ8" s="52">
        <f>IF($C$40&gt;(GN8-GN8/100*$M$35),IF($C$40&lt;(GO8+GO8/100*$M$35),0,1),1)</f>
        <v>1</v>
      </c>
      <c r="GR8" s="29">
        <f>IF($C$40&gt;(GN8-GN8/100*$FF$34),IF($C$40&lt;(GO8+GO8/100*$FF$34),0,1),1)</f>
        <v>1</v>
      </c>
      <c r="GS8" s="56">
        <v>17</v>
      </c>
      <c r="GT8" s="33">
        <v>23</v>
      </c>
      <c r="GU8" s="52">
        <f>IF($C$40&gt;GS8,IF($C$40&lt;GT8,0,1),1)</f>
        <v>1</v>
      </c>
      <c r="GV8" s="52">
        <f>IF($C$40&gt;(GS8-GS8/100*$M$35),IF($C$40&lt;(GT8+GT8/100*$M$35),0,1),1)</f>
        <v>1</v>
      </c>
      <c r="GW8" s="29">
        <f>IF($C$40&gt;(GS8-GS8/100*$FF$34),IF($C$40&lt;(GT8+GT8/100*$FF$34),0,1),1)</f>
        <v>1</v>
      </c>
      <c r="GX8" s="56">
        <v>23.5</v>
      </c>
      <c r="GY8" s="33">
        <v>29.5</v>
      </c>
      <c r="GZ8" s="52">
        <f>IF($C$40&gt;GX8,IF($C$40&lt;GY8,0,1),1)</f>
        <v>0</v>
      </c>
      <c r="HA8" s="52">
        <f>IF($C$40&gt;(GX8-GX8/100*$M$35),IF($C$40&lt;(GY8+GY8/100*$M$35),0,1),1)</f>
        <v>0</v>
      </c>
      <c r="HB8" s="29">
        <f>IF($C$40&gt;(GX8-GX8/100*$FF$34),IF($C$40&lt;(GY8+GY8/100*$FF$34),0,1),1)</f>
        <v>0</v>
      </c>
      <c r="HC8" s="56">
        <v>29</v>
      </c>
      <c r="HD8" s="33">
        <v>35</v>
      </c>
      <c r="HE8" s="52">
        <f>IF($C$40&gt;HC8,IF($C$40&lt;HD8,0,1),1)</f>
        <v>1</v>
      </c>
      <c r="HF8" s="52">
        <f>IF($C$40&gt;(HC8-HC8/100*$M$35),IF($C$40&lt;(HD8+HD8/100*$M$35),0,1),1)</f>
        <v>1</v>
      </c>
      <c r="HG8" s="29">
        <f>IF($C$40&gt;(HC8-HC8/100*$FF$34),IF($C$40&lt;(HD8+HD8/100*$FF$34),0,1),1)</f>
        <v>1</v>
      </c>
      <c r="HH8" s="56">
        <v>24</v>
      </c>
      <c r="HI8" s="33">
        <v>30</v>
      </c>
      <c r="HJ8" s="52">
        <f>IF($C$40&gt;HH8,IF($C$40&lt;HI8,0,1),1)</f>
        <v>0</v>
      </c>
      <c r="HK8" s="52">
        <f>IF($C$40&gt;(HH8-HH8/100*$M$35),IF($C$40&lt;(HI8+HI8/100*$M$35),0,1),1)</f>
        <v>0</v>
      </c>
      <c r="HL8" s="29">
        <f>IF($C$40&gt;(HH8-HH8/100*$FF$34),IF($C$40&lt;(HI8+HI8/100*$FF$34),0,1),1)</f>
        <v>0</v>
      </c>
      <c r="HM8" s="56">
        <v>15.5</v>
      </c>
      <c r="HN8" s="33">
        <v>21.5</v>
      </c>
      <c r="HO8" s="52">
        <f>IF($C$40&gt;HM8,IF($C$40&lt;HN8,0,1),1)</f>
        <v>1</v>
      </c>
      <c r="HP8" s="52">
        <f>IF($C$40&gt;(HM8-HM8/100*$M$35),IF($C$40&lt;(HN8+HN8/100*$M$35),0,1),1)</f>
        <v>1</v>
      </c>
      <c r="HQ8" s="29">
        <f>IF($C$40&gt;(HM8-HM8/100*$FF$34),IF($C$40&lt;(HN8+HN8/100*$FF$34),0,1),1)</f>
        <v>1</v>
      </c>
      <c r="HR8" s="56">
        <v>16</v>
      </c>
      <c r="HS8" s="33">
        <v>22</v>
      </c>
      <c r="HT8" s="52">
        <f>IF($C$40&gt;HR8,IF($C$40&lt;HS8,0,1),1)</f>
        <v>1</v>
      </c>
      <c r="HU8" s="52">
        <f>IF($C$40&gt;(HR8-HR8/100*$M$35),IF($C$40&lt;(HS8+HS8/100*$M$35),0,1),1)</f>
        <v>1</v>
      </c>
      <c r="HV8" s="29">
        <f>IF($C$40&gt;(HR8-HR8/100*$FF$34),IF($C$40&lt;(HS8+HS8/100*$FF$34),0,1),1)</f>
        <v>1</v>
      </c>
      <c r="HW8" s="56">
        <v>18.5</v>
      </c>
      <c r="HX8" s="33">
        <v>24.5</v>
      </c>
      <c r="HY8" s="52">
        <f>IF($C$40&gt;HW8,IF($C$40&lt;HX8,0,1),1)</f>
        <v>1</v>
      </c>
      <c r="HZ8" s="52">
        <f>IF($C$40&gt;(HW8-HW8/100*$M$35),IF($C$40&lt;(HX8+HX8/100*$M$35),0,1),1)</f>
        <v>1</v>
      </c>
      <c r="IA8" s="29">
        <f>IF($C$40&gt;(HW8-HW8/100*$FF$34),IF($C$40&lt;(HX8+HX8/100*$FF$34),0,1),1)</f>
        <v>1</v>
      </c>
      <c r="IB8" s="56">
        <v>15.5</v>
      </c>
      <c r="IC8" s="33">
        <v>21.5</v>
      </c>
      <c r="ID8" s="52">
        <f>IF($C$40&gt;IB8,IF($C$40&lt;IC8,0,1),1)</f>
        <v>1</v>
      </c>
      <c r="IE8" s="52">
        <f>IF($C$40&gt;(IB8-IB8/100*$M$35),IF($C$40&lt;(IC8+IC8/100*$M$35),0,1),1)</f>
        <v>1</v>
      </c>
      <c r="IF8" s="29">
        <f>IF($C$40&gt;(IB8-IB8/100*$FF$34),IF($C$40&lt;(IC8+IC8/100*$FF$34),0,1),1)</f>
        <v>1</v>
      </c>
      <c r="IG8" s="56">
        <v>29.5</v>
      </c>
      <c r="IH8" s="33">
        <v>35.5</v>
      </c>
      <c r="II8" s="52">
        <f>IF($C$40&gt;IG8,IF($C$40&lt;IH8,0,1),1)</f>
        <v>1</v>
      </c>
      <c r="IJ8" s="52">
        <f>IF($C$40&gt;(IG8-IG8/100*$M$35),IF($C$40&lt;(IH8+IH8/100*$M$35),0,1),1)</f>
        <v>1</v>
      </c>
      <c r="IK8" s="29">
        <f>IF($C$40&gt;(IG8-IG8/100*$FF$34),IF($C$40&lt;(IH8+IH8/100*$FF$34),0,1),1)</f>
        <v>1</v>
      </c>
      <c r="IL8" s="61"/>
    </row>
    <row r="9" spans="1:246" ht="12" customHeight="1">
      <c r="A9" s="60"/>
      <c r="B9" s="3" t="s">
        <v>74</v>
      </c>
      <c r="C9" s="124"/>
      <c r="D9" s="124"/>
      <c r="E9" s="124"/>
      <c r="F9" s="61"/>
      <c r="H9" s="10" t="s">
        <v>75</v>
      </c>
      <c r="I9" s="3" t="str">
        <f>CONCATENATE("(&lt; ",BR38,")")</f>
        <v>(&lt; 3,5)</v>
      </c>
      <c r="J9" s="23" t="str">
        <f>IF(C39=0,"-",IF(C39&gt;BR38,"nein","ja"))</f>
        <v>-</v>
      </c>
      <c r="K9" s="114"/>
      <c r="L9" s="10" t="s">
        <v>75</v>
      </c>
      <c r="M9" s="3" t="str">
        <f>CONCATENATE("(&lt; ",BT38,")")</f>
        <v>(&lt; 3,5)</v>
      </c>
      <c r="N9" s="23" t="str">
        <f>IF(C39=0,"-",IF(C39&gt;BT38,"nein","ja"))</f>
        <v>-</v>
      </c>
      <c r="O9" s="3"/>
      <c r="P9" s="10" t="s">
        <v>75</v>
      </c>
      <c r="Q9" s="3" t="str">
        <f>CONCATENATE("(&lt; ",BV38,")")</f>
        <v>(&lt; 3,5)</v>
      </c>
      <c r="R9" s="23" t="str">
        <f>IF(C39=0,"-",IF(C39&gt;BV38,"nein","ja"))</f>
        <v>-</v>
      </c>
      <c r="S9" s="3"/>
      <c r="T9" s="10" t="s">
        <v>76</v>
      </c>
      <c r="U9" s="3" t="str">
        <f>CONCATENATE("(",EG36," - ",EH36,")")</f>
        <v>(3 - 15)</v>
      </c>
      <c r="V9" s="23" t="str">
        <f>IF(EI36=0,"ja","nein")</f>
        <v>nein</v>
      </c>
      <c r="X9" s="83"/>
      <c r="Y9" s="128" t="str">
        <f t="shared" si="0"/>
        <v>S</v>
      </c>
      <c r="Z9" s="56">
        <v>-1E-05</v>
      </c>
      <c r="AA9" s="33">
        <v>1</v>
      </c>
      <c r="AB9" s="52">
        <f>IF($C$41&gt;Z9,IF($C$41&lt;AA9,0,1),1)</f>
        <v>0</v>
      </c>
      <c r="AC9" s="52">
        <f>IF($C$41&gt;(Z9-Z9/100*$M$35),IF($C$41&lt;(AA9+AA9/100*$M$35),0,1),1)</f>
        <v>0</v>
      </c>
      <c r="AD9" s="29">
        <f>IF($C$41&gt;(Z9-Z9/100*$FF$34),IF($C$41&lt;(AA9+AA9/100*$FF$34),0,1),1)</f>
        <v>0</v>
      </c>
      <c r="AE9" s="56">
        <v>-1E-05</v>
      </c>
      <c r="AF9" s="33">
        <v>1</v>
      </c>
      <c r="AG9" s="52">
        <f>IF($C$41&gt;AE9,IF($C$41&lt;AF9,0,1),1)</f>
        <v>0</v>
      </c>
      <c r="AH9" s="52">
        <f>IF($C$41&gt;(AE9-AE9/100*$M$35),IF($C$41&lt;(AF9+AF9/100*$M$35),0,1),1)</f>
        <v>0</v>
      </c>
      <c r="AI9" s="29">
        <f>IF($C$41&gt;(AE9-AE9/100*$FF$34),IF($C$41&lt;(AF9+AF9/100*$FF$34),0,1),1)</f>
        <v>0</v>
      </c>
      <c r="AJ9" s="56">
        <v>-1E-05</v>
      </c>
      <c r="AK9" s="33">
        <v>1</v>
      </c>
      <c r="AL9" s="52">
        <f>IF($C$41&gt;AJ9,IF($C$41&lt;AK9,0,1),1)</f>
        <v>0</v>
      </c>
      <c r="AM9" s="52">
        <f>IF($C$41&gt;(AJ9-AJ9/100*$M$35),IF($C$41&lt;(AK9+AK9/100*$M$35),0,1),1)</f>
        <v>0</v>
      </c>
      <c r="AN9" s="29">
        <f>IF($C$41&gt;(AJ9-AJ9/100*$FF$34),IF($C$41&lt;(AK9+AK9/100*$FF$34),0,1),1)</f>
        <v>0</v>
      </c>
      <c r="AO9" s="56">
        <v>-1E-05</v>
      </c>
      <c r="AP9" s="33">
        <v>1</v>
      </c>
      <c r="AQ9" s="52">
        <f>IF($C$41&gt;AO9,IF($C$41&lt;AP9,0,1),1)</f>
        <v>0</v>
      </c>
      <c r="AR9" s="52">
        <f>IF($C$41&gt;(AO9-AO9/100*$M$35),IF($C$41&lt;(AP9+AP9/100*$M$35),0,1),1)</f>
        <v>0</v>
      </c>
      <c r="AS9" s="29">
        <f>IF($C$41&gt;(AO9-AO9/100*$FF$34),IF($C$41&lt;(AP9+AP9/100*$FF$34),0,1),1)</f>
        <v>0</v>
      </c>
      <c r="AT9" s="56">
        <v>-1E-05</v>
      </c>
      <c r="AU9" s="33">
        <v>1</v>
      </c>
      <c r="AV9" s="52">
        <f>IF($C$41&gt;AT9,IF($C$41&lt;AU9,0,1),1)</f>
        <v>0</v>
      </c>
      <c r="AW9" s="52">
        <f>IF($C$41&gt;(AT9-AT9/100*$M$35),IF($C$41&lt;(AU9+AU9/100*$M$35),0,1),1)</f>
        <v>0</v>
      </c>
      <c r="AX9" s="29">
        <f>IF($C$41&gt;(AT9-AT9/100*$FF$34),IF($C$41&lt;(AU9+AU9/100*$FF$34),0,1),1)</f>
        <v>0</v>
      </c>
      <c r="AY9" s="56">
        <v>-1E-05</v>
      </c>
      <c r="AZ9" s="33">
        <v>1</v>
      </c>
      <c r="BA9" s="52">
        <f>IF($C$41&gt;AY9,IF($C$41&lt;AZ9,0,1),1)</f>
        <v>0</v>
      </c>
      <c r="BB9" s="52">
        <f>IF($C$41&gt;(AY9-AY9/100*$M$35),IF($C$41&lt;(AZ9+AZ9/100*$M$35),0,1),1)</f>
        <v>0</v>
      </c>
      <c r="BC9" s="29">
        <f>IF($C$41&gt;(AY9-AY9/100*$FF$34),IF($C$41&lt;(AZ9+AZ9/100*$FF$34),0,1),1)</f>
        <v>0</v>
      </c>
      <c r="BD9" s="56">
        <v>-1E-05</v>
      </c>
      <c r="BE9" s="33">
        <v>1</v>
      </c>
      <c r="BF9" s="52">
        <f>IF($C$41&gt;BD9,IF($C$41&lt;BE9,0,1),1)</f>
        <v>0</v>
      </c>
      <c r="BG9" s="52">
        <f>IF($C$41&gt;(BD9-BD9/100*$M$35),IF($C$41&lt;(BE9+BE9/100*$M$35),0,1),1)</f>
        <v>0</v>
      </c>
      <c r="BH9" s="29">
        <f>IF($C$41&gt;(BD9-BD9/100*$FF$34),IF($C$41&lt;(BE9+BE9/100*$FF$34),0,1),1)</f>
        <v>0</v>
      </c>
      <c r="BI9" s="56">
        <v>-1E-05</v>
      </c>
      <c r="BJ9" s="33">
        <v>1</v>
      </c>
      <c r="BK9" s="52">
        <f>IF($C$41&gt;BI9,IF($C$41&lt;BJ9,0,1),1)</f>
        <v>0</v>
      </c>
      <c r="BL9" s="52">
        <f>IF($C$41&gt;(BI9-BI9/100*$M$35),IF($C$41&lt;(BJ9+BJ9/100*$M$35),0,1),1)</f>
        <v>0</v>
      </c>
      <c r="BM9" s="29">
        <f>IF($C$41&gt;(BI9-BI9/100*$FF$34),IF($C$41&lt;(BJ9+BJ9/100*$FF$34),0,1),1)</f>
        <v>0</v>
      </c>
      <c r="BN9" s="56">
        <v>-1E-05</v>
      </c>
      <c r="BO9" s="33">
        <v>1</v>
      </c>
      <c r="BP9" s="52">
        <f>IF($C$41&gt;BN9,IF($C$41&lt;BO9,0,1),1)</f>
        <v>0</v>
      </c>
      <c r="BQ9" s="52">
        <f>IF($C$41&gt;(BN9-BN9/100*$M$35),IF($C$41&lt;(BO9+BO9/100*$M$35),0,1),1)</f>
        <v>0</v>
      </c>
      <c r="BR9" s="29">
        <f>IF($C$41&gt;(BN9-BN9/100*$FF$34),IF($C$41&lt;(BO9+BO9/100*$FF$34),0,1),1)</f>
        <v>0</v>
      </c>
      <c r="BS9" s="56">
        <v>-1E-05</v>
      </c>
      <c r="BT9" s="33">
        <v>1</v>
      </c>
      <c r="BU9" s="52">
        <f>IF($C$41&gt;BS9,IF($C$41&lt;BT9,0,1),1)</f>
        <v>0</v>
      </c>
      <c r="BV9" s="52">
        <f>IF($C$41&gt;(BS9-BS9/100*$M$35),IF($C$41&lt;(BT9+BT9/100*$M$35),0,1),1)</f>
        <v>0</v>
      </c>
      <c r="BW9" s="29">
        <f>IF($C$41&gt;(BS9-BS9/100*$FF$34),IF($C$41&lt;(BT9+BT9/100*$FF$34),0,1),1)</f>
        <v>0</v>
      </c>
      <c r="BX9" s="56">
        <v>-1E-05</v>
      </c>
      <c r="BY9" s="33">
        <v>1</v>
      </c>
      <c r="BZ9" s="52">
        <f>IF($C$41&gt;BX9,IF($C$41&lt;BY9,0,1),1)</f>
        <v>0</v>
      </c>
      <c r="CA9" s="52">
        <f>IF($C$41&gt;(BX9-BX9/100*$M$35),IF($C$41&lt;(BY9+BY9/100*$M$35),0,1),1)</f>
        <v>0</v>
      </c>
      <c r="CB9" s="29">
        <f>IF($C$41&gt;(BX9-BX9/100*$FF$34),IF($C$41&lt;(BY9+BY9/100*$FF$34),0,1),1)</f>
        <v>0</v>
      </c>
      <c r="CC9" s="56">
        <v>-1E-05</v>
      </c>
      <c r="CD9" s="33">
        <v>1</v>
      </c>
      <c r="CE9" s="52">
        <f>IF($C$41&gt;CC9,IF($C$41&lt;CD9,0,1),1)</f>
        <v>0</v>
      </c>
      <c r="CF9" s="52">
        <f>IF($C$41&gt;(CC9-CC9/100*$M$35),IF($C$41&lt;(CD9+CD9/100*$M$35),0,1),1)</f>
        <v>0</v>
      </c>
      <c r="CG9" s="29">
        <f>IF($C$41&gt;(CC9-CC9/100*$FF$34),IF($C$41&lt;(CD9+CD9/100*$FF$34),0,1),1)</f>
        <v>0</v>
      </c>
      <c r="CH9" s="56">
        <v>-1E-05</v>
      </c>
      <c r="CI9" s="33">
        <v>1</v>
      </c>
      <c r="CJ9" s="52">
        <f>IF($C$41&gt;CH9,IF($C$41&lt;CI9,0,1),1)</f>
        <v>0</v>
      </c>
      <c r="CK9" s="52">
        <f>IF($C$41&gt;(CH9-CH9/100*$M$35),IF($C$41&lt;(CI9+CI9/100*$M$35),0,1),1)</f>
        <v>0</v>
      </c>
      <c r="CL9" s="29">
        <f>IF($C$41&gt;(CH9-CH9/100*$FF$34),IF($C$41&lt;(CI9+CI9/100*$FF$34),0,1),1)</f>
        <v>0</v>
      </c>
      <c r="CM9" s="56">
        <v>-1E-05</v>
      </c>
      <c r="CN9" s="33">
        <v>1</v>
      </c>
      <c r="CO9" s="52">
        <f>IF($C$41&gt;CM9,IF($C$41&lt;CN9,0,1),1)</f>
        <v>0</v>
      </c>
      <c r="CP9" s="52">
        <f>IF($C$41&gt;(CM9-CM9/100*$M$35),IF($C$41&lt;(CN9+CN9/100*$M$35),0,1),1)</f>
        <v>0</v>
      </c>
      <c r="CQ9" s="29">
        <f>IF($C$41&gt;(CM9-CM9/100*$FF$34),IF($C$41&lt;(CN9+CN9/100*$FF$34),0,1),1)</f>
        <v>0</v>
      </c>
      <c r="CR9" s="56">
        <v>-1E-05</v>
      </c>
      <c r="CS9" s="33">
        <v>1</v>
      </c>
      <c r="CT9" s="52">
        <f>IF($C$41&gt;CR9,IF($C$41&lt;CS9,0,1),1)</f>
        <v>0</v>
      </c>
      <c r="CU9" s="52">
        <f>IF($C$41&gt;(CR9-CR9/100*$M$35),IF($C$41&lt;(CS9+CS9/100*$M$35),0,1),1)</f>
        <v>0</v>
      </c>
      <c r="CV9" s="29">
        <f>IF($C$41&gt;(CR9-CR9/100*$FF$34),IF($C$41&lt;(CS9+CS9/100*$FF$34),0,1),1)</f>
        <v>0</v>
      </c>
      <c r="CW9" s="56">
        <v>-1E-05</v>
      </c>
      <c r="CX9" s="33">
        <v>1</v>
      </c>
      <c r="CY9" s="52">
        <f>IF($C$41&gt;CW9,IF($C$41&lt;CX9,0,1),1)</f>
        <v>0</v>
      </c>
      <c r="CZ9" s="52">
        <f>IF($C$41&gt;(CW9-CW9/100*$M$35),IF($C$41&lt;(CX9+CX9/100*$M$35),0,1),1)</f>
        <v>0</v>
      </c>
      <c r="DA9" s="29">
        <f>IF($C$41&gt;(CW9-CW9/100*$FF$34),IF($C$41&lt;(CX9+CX9/100*$FF$34),0,1),1)</f>
        <v>0</v>
      </c>
      <c r="DB9" s="56">
        <v>-1E-05</v>
      </c>
      <c r="DC9" s="33">
        <v>1</v>
      </c>
      <c r="DD9" s="52">
        <f>IF($C$41&gt;DB9,IF($C$41&lt;DC9,0,1),1)</f>
        <v>0</v>
      </c>
      <c r="DE9" s="52">
        <f>IF($C$41&gt;(DB9-DB9/100*$M$35),IF($C$41&lt;(DC9+DC9/100*$M$35),0,1),1)</f>
        <v>0</v>
      </c>
      <c r="DF9" s="29">
        <f>IF($C$41&gt;(DB9-DB9/100*$FF$34),IF($C$41&lt;(DC9+DC9/100*$FF$34),0,1),1)</f>
        <v>0</v>
      </c>
      <c r="DG9" s="56">
        <v>-1E-05</v>
      </c>
      <c r="DH9" s="33">
        <v>1</v>
      </c>
      <c r="DI9" s="52">
        <f>IF($C$41&gt;DG9,IF($C$41&lt;DH9,0,1),1)</f>
        <v>0</v>
      </c>
      <c r="DJ9" s="52">
        <f>IF($C$41&gt;(DG9-DG9/100*$M$35),IF($C$41&lt;(DH9+DH9/100*$M$35),0,1),1)</f>
        <v>0</v>
      </c>
      <c r="DK9" s="29">
        <f>IF($C$41&gt;(DG9-DG9/100*$FF$34),IF($C$41&lt;(DH9+DH9/100*$FF$34),0,1),1)</f>
        <v>0</v>
      </c>
      <c r="DL9" s="56">
        <v>-1E-05</v>
      </c>
      <c r="DM9" s="33">
        <v>1</v>
      </c>
      <c r="DN9" s="52">
        <f>IF($C$41&gt;DL9,IF($C$41&lt;DM9,0,1),1)</f>
        <v>0</v>
      </c>
      <c r="DO9" s="52">
        <f>IF($C$41&gt;(DL9-DL9/100*$M$35),IF($C$41&lt;(DM9+DM9/100*$M$35),0,1),1)</f>
        <v>0</v>
      </c>
      <c r="DP9" s="29">
        <f>IF($C$41&gt;(DL9-DL9/100*$FF$34),IF($C$41&lt;(DM9+DM9/100*$FF$34),0,1),1)</f>
        <v>0</v>
      </c>
      <c r="DQ9" s="56">
        <v>-1E-05</v>
      </c>
      <c r="DR9" s="33">
        <v>1</v>
      </c>
      <c r="DS9" s="52">
        <f>IF($C$41&gt;DQ9,IF($C$41&lt;DR9,0,1),1)</f>
        <v>0</v>
      </c>
      <c r="DT9" s="52">
        <f>IF($C$41&gt;(DQ9-DQ9/100*$M$35),IF($C$41&lt;(DR9+DR9/100*$M$35),0,1),1)</f>
        <v>0</v>
      </c>
      <c r="DU9" s="29">
        <f>IF($C$41&gt;(DQ9-DQ9/100*$FF$34),IF($C$41&lt;(DR9+DR9/100*$FF$34),0,1),1)</f>
        <v>0</v>
      </c>
      <c r="DV9" s="56">
        <v>-1E-05</v>
      </c>
      <c r="DW9" s="33">
        <v>1</v>
      </c>
      <c r="DX9" s="52">
        <f>IF($C$41&gt;DV9,IF($C$41&lt;DW9,0,1),1)</f>
        <v>0</v>
      </c>
      <c r="DY9" s="52">
        <f>IF($C$41&gt;(DV9-DV9/100*$M$35),IF($C$41&lt;(DW9+DW9/100*$M$35),0,1),1)</f>
        <v>0</v>
      </c>
      <c r="DZ9" s="29">
        <f>IF($C$41&gt;(DV9-DV9/100*$FF$34),IF($C$41&lt;(DW9+DW9/100*$FF$34),0,1),1)</f>
        <v>0</v>
      </c>
      <c r="EA9" s="56">
        <v>-1E-05</v>
      </c>
      <c r="EB9" s="33">
        <v>1</v>
      </c>
      <c r="EC9" s="52">
        <f>IF($C$41&gt;EA9,IF($C$41&lt;EB9,0,1),1)</f>
        <v>0</v>
      </c>
      <c r="ED9" s="52">
        <f>IF($C$41&gt;(EA9-EA9/100*$M$35),IF($C$41&lt;(EB9+EB9/100*$M$35),0,1),1)</f>
        <v>0</v>
      </c>
      <c r="EE9" s="29">
        <f>IF($C$41&gt;(EA9-EA9/100*$FF$34),IF($C$41&lt;(EB9+EB9/100*$FF$34),0,1),1)</f>
        <v>0</v>
      </c>
      <c r="EF9" s="56">
        <v>-1E-05</v>
      </c>
      <c r="EG9" s="33">
        <v>1</v>
      </c>
      <c r="EH9" s="52">
        <f>IF($C$41&gt;EF9,IF($C$41&lt;EG9,0,1),1)</f>
        <v>0</v>
      </c>
      <c r="EI9" s="52">
        <f>IF($C$41&gt;(EF9-EF9/100*$M$35),IF($C$41&lt;(EG9+EG9/100*$M$35),0,1),1)</f>
        <v>0</v>
      </c>
      <c r="EJ9" s="29">
        <f>IF($C$41&gt;(EF9-EF9/100*$FF$34),IF($C$41&lt;(EG9+EG9/100*$FF$34),0,1),1)</f>
        <v>0</v>
      </c>
      <c r="EK9" s="56">
        <v>-1E-05</v>
      </c>
      <c r="EL9" s="33">
        <v>1</v>
      </c>
      <c r="EM9" s="52">
        <f>IF($C$41&gt;EK9,IF($C$41&lt;EL9,0,1),1)</f>
        <v>0</v>
      </c>
      <c r="EN9" s="52">
        <f>IF($C$41&gt;(EK9-EK9/100*$M$35),IF($C$41&lt;(EL9+EL9/100*$M$35),0,1),1)</f>
        <v>0</v>
      </c>
      <c r="EO9" s="29">
        <f>IF($C$41&gt;(EK9-EK9/100*$FF$34),IF($C$41&lt;(EL9+EL9/100*$FF$34),0,1),1)</f>
        <v>0</v>
      </c>
      <c r="EP9" s="56">
        <v>-1E-05</v>
      </c>
      <c r="EQ9" s="33">
        <v>1</v>
      </c>
      <c r="ER9" s="52">
        <f>IF($C$41&gt;EP9,IF($C$41&lt;EQ9,0,1),1)</f>
        <v>0</v>
      </c>
      <c r="ES9" s="52">
        <f>IF($C$41&gt;(EP9-EP9/100*$M$35),IF($C$41&lt;(EQ9+EQ9/100*$M$35),0,1),1)</f>
        <v>0</v>
      </c>
      <c r="ET9" s="29">
        <f>IF($C$41&gt;(EP9-EP9/100*$FF$34),IF($C$41&lt;(EQ9+EQ9/100*$FF$34),0,1),1)</f>
        <v>0</v>
      </c>
      <c r="EU9" s="56">
        <v>-1E-05</v>
      </c>
      <c r="EV9" s="33">
        <v>1</v>
      </c>
      <c r="EW9" s="52">
        <f>IF($C$41&gt;EU9,IF($C$41&lt;EV9,0,1),1)</f>
        <v>0</v>
      </c>
      <c r="EX9" s="52">
        <f>IF($C$41&gt;(EU9-EU9/100*$M$35),IF($C$41&lt;(EV9+EV9/100*$M$35),0,1),1)</f>
        <v>0</v>
      </c>
      <c r="EY9" s="29">
        <f>IF($C$41&gt;(EU9-EU9/100*$FF$34),IF($C$41&lt;(EV9+EV9/100*$FF$34),0,1),1)</f>
        <v>0</v>
      </c>
      <c r="EZ9" s="56">
        <v>-1E-05</v>
      </c>
      <c r="FA9" s="33">
        <v>1</v>
      </c>
      <c r="FB9" s="52">
        <f>IF($C$41&gt;EZ9,IF($C$41&lt;FA9,0,1),1)</f>
        <v>0</v>
      </c>
      <c r="FC9" s="52">
        <f>IF($C$41&gt;(EZ9-EZ9/100*$M$35),IF($C$41&lt;(FA9+FA9/100*$M$35),0,1),1)</f>
        <v>0</v>
      </c>
      <c r="FD9" s="29">
        <f>IF($C$41&gt;(EZ9-EZ9/100*$FF$34),IF($C$41&lt;(FA9+FA9/100*$FF$34),0,1),1)</f>
        <v>0</v>
      </c>
      <c r="FE9" s="56">
        <v>-1E-05</v>
      </c>
      <c r="FF9" s="33">
        <v>1</v>
      </c>
      <c r="FG9" s="52">
        <f>IF($C$41&gt;FE9,IF($C$41&lt;FF9,0,1),1)</f>
        <v>0</v>
      </c>
      <c r="FH9" s="52">
        <f>IF($C$41&gt;(FE9-FE9/100*$M$35),IF($C$41&lt;(FF9+FF9/100*$M$35),0,1),1)</f>
        <v>0</v>
      </c>
      <c r="FI9" s="29">
        <f>IF($C$41&gt;(FE9-FE9/100*$FF$34),IF($C$41&lt;(FF9+FF9/100*$FF$34),0,1),1)</f>
        <v>0</v>
      </c>
      <c r="FJ9" s="56">
        <v>-1E-05</v>
      </c>
      <c r="FK9" s="33">
        <v>1</v>
      </c>
      <c r="FL9" s="52">
        <f>IF($C$41&gt;FJ9,IF($C$41&lt;FK9,0,1),1)</f>
        <v>0</v>
      </c>
      <c r="FM9" s="52">
        <f>IF($C$41&gt;(FJ9-FJ9/100*$M$35),IF($C$41&lt;(FK9+FK9/100*$M$35),0,1),1)</f>
        <v>0</v>
      </c>
      <c r="FN9" s="29">
        <f>IF($C$41&gt;(FJ9-FJ9/100*$FF$34),IF($C$41&lt;(FK9+FK9/100*$FF$34),0,1),1)</f>
        <v>0</v>
      </c>
      <c r="FO9" s="56">
        <v>-1E-05</v>
      </c>
      <c r="FP9" s="33">
        <v>1</v>
      </c>
      <c r="FQ9" s="52">
        <f>IF($C$41&gt;FO9,IF($C$41&lt;FP9,0,1),1)</f>
        <v>0</v>
      </c>
      <c r="FR9" s="52">
        <f>IF($C$41&gt;(FO9-FO9/100*$M$35),IF($C$41&lt;(FP9+FP9/100*$M$35),0,1),1)</f>
        <v>0</v>
      </c>
      <c r="FS9" s="29">
        <f>IF($C$41&gt;(FO9-FO9/100*$FF$34),IF($C$41&lt;(FP9+FP9/100*$FF$34),0,1),1)</f>
        <v>0</v>
      </c>
      <c r="FT9" s="56">
        <v>-1E-05</v>
      </c>
      <c r="FU9" s="33">
        <v>1</v>
      </c>
      <c r="FV9" s="52">
        <f>IF($C$41&gt;FT9,IF($C$41&lt;FU9,0,1),1)</f>
        <v>0</v>
      </c>
      <c r="FW9" s="52">
        <f>IF($C$41&gt;(FT9-FT9/100*$M$35),IF($C$41&lt;(FU9+FU9/100*$M$35),0,1),1)</f>
        <v>0</v>
      </c>
      <c r="FX9" s="29">
        <f>IF($C$41&gt;(FT9-FT9/100*$FF$34),IF($C$41&lt;(FU9+FU9/100*$FF$34),0,1),1)</f>
        <v>0</v>
      </c>
      <c r="FY9" s="56">
        <v>-1E-05</v>
      </c>
      <c r="FZ9" s="33">
        <v>1</v>
      </c>
      <c r="GA9" s="52">
        <f>IF($C$41&gt;FY9,IF($C$41&lt;FZ9,0,1),1)</f>
        <v>0</v>
      </c>
      <c r="GB9" s="52">
        <f>IF($C$41&gt;(FY9-FY9/100*$M$35),IF($C$41&lt;(FZ9+FZ9/100*$M$35),0,1),1)</f>
        <v>0</v>
      </c>
      <c r="GC9" s="29">
        <f>IF($C$41&gt;(FY9-FY9/100*$FF$34),IF($C$41&lt;(FZ9+FZ9/100*$FF$34),0,1),1)</f>
        <v>0</v>
      </c>
      <c r="GD9" s="56">
        <v>-1E-05</v>
      </c>
      <c r="GE9" s="33">
        <v>1</v>
      </c>
      <c r="GF9" s="52">
        <f>IF($C$41&gt;GD9,IF($C$41&lt;GE9,0,1),1)</f>
        <v>0</v>
      </c>
      <c r="GG9" s="52">
        <f>IF($C$41&gt;(GD9-GD9/100*$M$35),IF($C$41&lt;(GE9+GE9/100*$M$35),0,1),1)</f>
        <v>0</v>
      </c>
      <c r="GH9" s="29">
        <f>IF($C$41&gt;(GD9-GD9/100*$FF$34),IF($C$41&lt;(GE9+GE9/100*$FF$34),0,1),1)</f>
        <v>0</v>
      </c>
      <c r="GI9" s="56">
        <v>-1E-05</v>
      </c>
      <c r="GJ9" s="33">
        <v>1</v>
      </c>
      <c r="GK9" s="52">
        <f>IF($C$41&gt;GI9,IF($C$41&lt;GJ9,0,1),1)</f>
        <v>0</v>
      </c>
      <c r="GL9" s="52">
        <f>IF($C$41&gt;(GI9-GI9/100*$M$35),IF($C$41&lt;(GJ9+GJ9/100*$M$35),0,1),1)</f>
        <v>0</v>
      </c>
      <c r="GM9" s="29">
        <f>IF($C$41&gt;(GI9-GI9/100*$FF$34),IF($C$41&lt;(GJ9+GJ9/100*$FF$34),0,1),1)</f>
        <v>0</v>
      </c>
      <c r="GN9" s="56">
        <v>-1E-05</v>
      </c>
      <c r="GO9" s="33">
        <v>1</v>
      </c>
      <c r="GP9" s="52">
        <f>IF($C$41&gt;GN9,IF($C$41&lt;GO9,0,1),1)</f>
        <v>0</v>
      </c>
      <c r="GQ9" s="52">
        <f>IF($C$41&gt;(GN9-GN9/100*$M$35),IF($C$41&lt;(GO9+GO9/100*$M$35),0,1),1)</f>
        <v>0</v>
      </c>
      <c r="GR9" s="29">
        <f>IF($C$41&gt;(GN9-GN9/100*$FF$34),IF($C$41&lt;(GO9+GO9/100*$FF$34),0,1),1)</f>
        <v>0</v>
      </c>
      <c r="GS9" s="56">
        <v>-1E-05</v>
      </c>
      <c r="GT9" s="33">
        <v>1</v>
      </c>
      <c r="GU9" s="52">
        <f>IF($C$41&gt;GS9,IF($C$41&lt;GT9,0,1),1)</f>
        <v>0</v>
      </c>
      <c r="GV9" s="52">
        <f>IF($C$41&gt;(GS9-GS9/100*$M$35),IF($C$41&lt;(GT9+GT9/100*$M$35),0,1),1)</f>
        <v>0</v>
      </c>
      <c r="GW9" s="29">
        <f>IF($C$41&gt;(GS9-GS9/100*$FF$34),IF($C$41&lt;(GT9+GT9/100*$FF$34),0,1),1)</f>
        <v>0</v>
      </c>
      <c r="GX9" s="56">
        <v>-1E-05</v>
      </c>
      <c r="GY9" s="33">
        <v>1</v>
      </c>
      <c r="GZ9" s="52">
        <f>IF($C$41&gt;GX9,IF($C$41&lt;GY9,0,1),1)</f>
        <v>0</v>
      </c>
      <c r="HA9" s="52">
        <f>IF($C$41&gt;(GX9-GX9/100*$M$35),IF($C$41&lt;(GY9+GY9/100*$M$35),0,1),1)</f>
        <v>0</v>
      </c>
      <c r="HB9" s="29">
        <f>IF($C$41&gt;(GX9-GX9/100*$FF$34),IF($C$41&lt;(GY9+GY9/100*$FF$34),0,1),1)</f>
        <v>0</v>
      </c>
      <c r="HC9" s="56">
        <v>-1E-05</v>
      </c>
      <c r="HD9" s="33">
        <v>1</v>
      </c>
      <c r="HE9" s="52">
        <f>IF($C$41&gt;HC9,IF($C$41&lt;HD9,0,1),1)</f>
        <v>0</v>
      </c>
      <c r="HF9" s="52">
        <f>IF($C$41&gt;(HC9-HC9/100*$M$35),IF($C$41&lt;(HD9+HD9/100*$M$35),0,1),1)</f>
        <v>0</v>
      </c>
      <c r="HG9" s="29">
        <f>IF($C$41&gt;(HC9-HC9/100*$FF$34),IF($C$41&lt;(HD9+HD9/100*$FF$34),0,1),1)</f>
        <v>0</v>
      </c>
      <c r="HH9" s="56">
        <v>-1E-05</v>
      </c>
      <c r="HI9" s="33">
        <v>1</v>
      </c>
      <c r="HJ9" s="52">
        <f>IF($C$41&gt;HH9,IF($C$41&lt;HI9,0,1),1)</f>
        <v>0</v>
      </c>
      <c r="HK9" s="52">
        <f>IF($C$41&gt;(HH9-HH9/100*$M$35),IF($C$41&lt;(HI9+HI9/100*$M$35),0,1),1)</f>
        <v>0</v>
      </c>
      <c r="HL9" s="29">
        <f>IF($C$41&gt;(HH9-HH9/100*$FF$34),IF($C$41&lt;(HI9+HI9/100*$FF$34),0,1),1)</f>
        <v>0</v>
      </c>
      <c r="HM9" s="56">
        <v>-1E-05</v>
      </c>
      <c r="HN9" s="33">
        <v>1</v>
      </c>
      <c r="HO9" s="52">
        <f>IF($C$41&gt;HM9,IF($C$41&lt;HN9,0,1),1)</f>
        <v>0</v>
      </c>
      <c r="HP9" s="52">
        <f>IF($C$41&gt;(HM9-HM9/100*$M$35),IF($C$41&lt;(HN9+HN9/100*$M$35),0,1),1)</f>
        <v>0</v>
      </c>
      <c r="HQ9" s="29">
        <f>IF($C$41&gt;(HM9-HM9/100*$FF$34),IF($C$41&lt;(HN9+HN9/100*$FF$34),0,1),1)</f>
        <v>0</v>
      </c>
      <c r="HR9" s="56">
        <v>-1E-05</v>
      </c>
      <c r="HS9" s="33">
        <v>1</v>
      </c>
      <c r="HT9" s="52">
        <f>IF($C$41&gt;HR9,IF($C$41&lt;HS9,0,1),1)</f>
        <v>0</v>
      </c>
      <c r="HU9" s="52">
        <f>IF($C$41&gt;(HR9-HR9/100*$M$35),IF($C$41&lt;(HS9+HS9/100*$M$35),0,1),1)</f>
        <v>0</v>
      </c>
      <c r="HV9" s="29">
        <f>IF($C$41&gt;(HR9-HR9/100*$FF$34),IF($C$41&lt;(HS9+HS9/100*$FF$34),0,1),1)</f>
        <v>0</v>
      </c>
      <c r="HW9" s="56">
        <v>-1E-05</v>
      </c>
      <c r="HX9" s="33">
        <v>1</v>
      </c>
      <c r="HY9" s="52">
        <f>IF($C$41&gt;HW9,IF($C$41&lt;HX9,0,1),1)</f>
        <v>0</v>
      </c>
      <c r="HZ9" s="52">
        <f>IF($C$41&gt;(HW9-HW9/100*$M$35),IF($C$41&lt;(HX9+HX9/100*$M$35),0,1),1)</f>
        <v>0</v>
      </c>
      <c r="IA9" s="29">
        <f>IF($C$41&gt;(HW9-HW9/100*$FF$34),IF($C$41&lt;(HX9+HX9/100*$FF$34),0,1),1)</f>
        <v>0</v>
      </c>
      <c r="IB9" s="56">
        <v>-1E-05</v>
      </c>
      <c r="IC9" s="33">
        <v>1</v>
      </c>
      <c r="ID9" s="52">
        <f>IF($C$41&gt;IB9,IF($C$41&lt;IC9,0,1),1)</f>
        <v>0</v>
      </c>
      <c r="IE9" s="52">
        <f>IF($C$41&gt;(IB9-IB9/100*$M$35),IF($C$41&lt;(IC9+IC9/100*$M$35),0,1),1)</f>
        <v>0</v>
      </c>
      <c r="IF9" s="29">
        <f>IF($C$41&gt;(IB9-IB9/100*$FF$34),IF($C$41&lt;(IC9+IC9/100*$FF$34),0,1),1)</f>
        <v>0</v>
      </c>
      <c r="IG9" s="56">
        <v>-1E-05</v>
      </c>
      <c r="IH9" s="33">
        <v>1</v>
      </c>
      <c r="II9" s="52">
        <f>IF($C$41&gt;IG9,IF($C$41&lt;IH9,0,1),1)</f>
        <v>0</v>
      </c>
      <c r="IJ9" s="52">
        <f>IF($C$41&gt;(IG9-IG9/100*$M$35),IF($C$41&lt;(IH9+IH9/100*$M$35),0,1),1)</f>
        <v>0</v>
      </c>
      <c r="IK9" s="29">
        <f>IF($C$41&gt;(IG9-IG9/100*$FF$34),IF($C$41&lt;(IH9+IH9/100*$FF$34),0,1),1)</f>
        <v>0</v>
      </c>
      <c r="IL9" s="61"/>
    </row>
    <row r="10" spans="1:246" ht="12" customHeight="1">
      <c r="A10" s="60"/>
      <c r="B10" s="3" t="s">
        <v>77</v>
      </c>
      <c r="C10" s="124"/>
      <c r="D10" s="124"/>
      <c r="E10" s="124"/>
      <c r="F10" s="61"/>
      <c r="H10" s="10" t="s">
        <v>78</v>
      </c>
      <c r="I10" s="3" t="str">
        <f>CONCATENATE("(&lt; ",BR42,")")</f>
        <v>(&lt; 3,5)</v>
      </c>
      <c r="J10" s="23" t="str">
        <f>IF(C43=0,"-",IF(C43&gt;BR42,"nein","ja"))</f>
        <v>nein</v>
      </c>
      <c r="K10" s="114"/>
      <c r="L10" s="10" t="s">
        <v>78</v>
      </c>
      <c r="M10" s="3" t="str">
        <f>CONCATENATE("(&lt; ",BT42,")")</f>
        <v>(&lt; 3,5)</v>
      </c>
      <c r="N10" s="23" t="str">
        <f>IF(C43=0,"-",IF(C43&gt;BT42,"nein","ja"))</f>
        <v>nein</v>
      </c>
      <c r="O10" s="3"/>
      <c r="P10" s="10" t="s">
        <v>71</v>
      </c>
      <c r="Q10" s="3" t="str">
        <f>CONCATENATE("(&lt; ",BV44,")")</f>
        <v>(&lt; 6)</v>
      </c>
      <c r="R10" s="23" t="str">
        <f>IF(C45=0,"-",IF(C45&gt;BV44,"nein","ja"))</f>
        <v>ja</v>
      </c>
      <c r="S10" s="3"/>
      <c r="T10" s="10" t="s">
        <v>75</v>
      </c>
      <c r="U10" s="3" t="str">
        <f>CONCATENATE("(&lt; ",BX38,")")</f>
        <v>(&lt; 3,5)</v>
      </c>
      <c r="V10" s="23" t="str">
        <f>IF(C39=0,"-",IF(C39&gt;BX38,"nein","ja"))</f>
        <v>-</v>
      </c>
      <c r="X10" s="83"/>
      <c r="Y10" s="128" t="str">
        <f t="shared" si="0"/>
        <v>K</v>
      </c>
      <c r="Z10" s="56">
        <v>-1E-05</v>
      </c>
      <c r="AA10" s="33">
        <v>1</v>
      </c>
      <c r="AB10" s="52">
        <f>IF($C$42&gt;Z10,IF($C$42&lt;AA10,0,1),1)</f>
        <v>0</v>
      </c>
      <c r="AC10" s="52">
        <f>IF($C$42&gt;(Z10-Z10/100*$M$35),IF($C$42&lt;(AA10+AA10/100*$M$35),0,1),1)</f>
        <v>0</v>
      </c>
      <c r="AD10" s="29">
        <f>IF($C$42&gt;(Z10-Z10/100*$FF$34),IF($C$42&lt;(AA10+AA10/100*$FF$34),0,1),1)</f>
        <v>0</v>
      </c>
      <c r="AE10" s="56">
        <v>-1E-05</v>
      </c>
      <c r="AF10" s="33">
        <v>1</v>
      </c>
      <c r="AG10" s="52">
        <f>IF($C$42&gt;AE10,IF($C$42&lt;AF10,0,1),1)</f>
        <v>0</v>
      </c>
      <c r="AH10" s="52">
        <f>IF($C$42&gt;(AE10-AE10/100*$M$35),IF($C$42&lt;(AF10+AF10/100*$M$35),0,1),1)</f>
        <v>0</v>
      </c>
      <c r="AI10" s="29">
        <f>IF($C$42&gt;(AE10-AE10/100*$FF$34),IF($C$42&lt;(AF10+AF10/100*$FF$34),0,1),1)</f>
        <v>0</v>
      </c>
      <c r="AJ10" s="56">
        <v>-1E-05</v>
      </c>
      <c r="AK10" s="33">
        <v>1</v>
      </c>
      <c r="AL10" s="52">
        <f>IF($C$42&gt;AJ10,IF($C$42&lt;AK10,0,1),1)</f>
        <v>0</v>
      </c>
      <c r="AM10" s="52">
        <f>IF($C$42&gt;(AJ10-AJ10/100*$M$35),IF($C$42&lt;(AK10+AK10/100*$M$35),0,1),1)</f>
        <v>0</v>
      </c>
      <c r="AN10" s="29">
        <f>IF($C$42&gt;(AJ10-AJ10/100*$FF$34),IF($C$42&lt;(AK10+AK10/100*$FF$34),0,1),1)</f>
        <v>0</v>
      </c>
      <c r="AO10" s="56">
        <v>-1E-05</v>
      </c>
      <c r="AP10" s="33">
        <v>1</v>
      </c>
      <c r="AQ10" s="52">
        <f>IF($C$42&gt;AO10,IF($C$42&lt;AP10,0,1),1)</f>
        <v>0</v>
      </c>
      <c r="AR10" s="52">
        <f>IF($C$42&gt;(AO10-AO10/100*$M$35),IF($C$42&lt;(AP10+AP10/100*$M$35),0,1),1)</f>
        <v>0</v>
      </c>
      <c r="AS10" s="29">
        <f>IF($C$42&gt;(AO10-AO10/100*$FF$34),IF($C$42&lt;(AP10+AP10/100*$FF$34),0,1),1)</f>
        <v>0</v>
      </c>
      <c r="AT10" s="56">
        <v>-1E-05</v>
      </c>
      <c r="AU10" s="33">
        <v>1</v>
      </c>
      <c r="AV10" s="52">
        <f>IF($C$42&gt;AT10,IF($C$42&lt;AU10,0,1),1)</f>
        <v>0</v>
      </c>
      <c r="AW10" s="52">
        <f>IF($C$42&gt;(AT10-AT10/100*$M$35),IF($C$42&lt;(AU10+AU10/100*$M$35),0,1),1)</f>
        <v>0</v>
      </c>
      <c r="AX10" s="29">
        <f>IF($C$42&gt;(AT10-AT10/100*$FF$34),IF($C$42&lt;(AU10+AU10/100*$FF$34),0,1),1)</f>
        <v>0</v>
      </c>
      <c r="AY10" s="56">
        <v>-1E-05</v>
      </c>
      <c r="AZ10" s="33">
        <v>1</v>
      </c>
      <c r="BA10" s="52">
        <f>IF($C$42&gt;AY10,IF($C$42&lt;AZ10,0,1),1)</f>
        <v>0</v>
      </c>
      <c r="BB10" s="52">
        <f>IF($C$42&gt;(AY10-AY10/100*$M$35),IF($C$42&lt;(AZ10+AZ10/100*$M$35),0,1),1)</f>
        <v>0</v>
      </c>
      <c r="BC10" s="29">
        <f>IF($C$42&gt;(AY10-AY10/100*$FF$34),IF($C$42&lt;(AZ10+AZ10/100*$FF$34),0,1),1)</f>
        <v>0</v>
      </c>
      <c r="BD10" s="56">
        <v>-1E-05</v>
      </c>
      <c r="BE10" s="33">
        <v>1</v>
      </c>
      <c r="BF10" s="52">
        <f>IF($C$42&gt;BD10,IF($C$42&lt;BE10,0,1),1)</f>
        <v>0</v>
      </c>
      <c r="BG10" s="52">
        <f>IF($C$42&gt;(BD10-BD10/100*$M$35),IF($C$42&lt;(BE10+BE10/100*$M$35),0,1),1)</f>
        <v>0</v>
      </c>
      <c r="BH10" s="29">
        <f>IF($C$42&gt;(BD10-BD10/100*$FF$34),IF($C$42&lt;(BE10+BE10/100*$FF$34),0,1),1)</f>
        <v>0</v>
      </c>
      <c r="BI10" s="56">
        <v>-1E-05</v>
      </c>
      <c r="BJ10" s="33">
        <v>1</v>
      </c>
      <c r="BK10" s="52">
        <f>IF($C$42&gt;BI10,IF($C$42&lt;BJ10,0,1),1)</f>
        <v>0</v>
      </c>
      <c r="BL10" s="52">
        <f>IF($C$42&gt;(BI10-BI10/100*$M$35),IF($C$42&lt;(BJ10+BJ10/100*$M$35),0,1),1)</f>
        <v>0</v>
      </c>
      <c r="BM10" s="29">
        <f>IF($C$42&gt;(BI10-BI10/100*$FF$34),IF($C$42&lt;(BJ10+BJ10/100*$FF$34),0,1),1)</f>
        <v>0</v>
      </c>
      <c r="BN10" s="56">
        <v>-1E-05</v>
      </c>
      <c r="BO10" s="33">
        <v>1</v>
      </c>
      <c r="BP10" s="52">
        <f>IF($C$42&gt;BN10,IF($C$42&lt;BO10,0,1),1)</f>
        <v>0</v>
      </c>
      <c r="BQ10" s="52">
        <f>IF($C$42&gt;(BN10-BN10/100*$M$35),IF($C$42&lt;(BO10+BO10/100*$M$35),0,1),1)</f>
        <v>0</v>
      </c>
      <c r="BR10" s="29">
        <f>IF($C$42&gt;(BN10-BN10/100*$FF$34),IF($C$42&lt;(BO10+BO10/100*$FF$34),0,1),1)</f>
        <v>0</v>
      </c>
      <c r="BS10" s="56">
        <v>-1E-05</v>
      </c>
      <c r="BT10" s="33">
        <v>1</v>
      </c>
      <c r="BU10" s="52">
        <f>IF($C$42&gt;BS10,IF($C$42&lt;BT10,0,1),1)</f>
        <v>0</v>
      </c>
      <c r="BV10" s="52">
        <f>IF($C$42&gt;(BS10-BS10/100*$M$35),IF($C$42&lt;(BT10+BT10/100*$M$35),0,1),1)</f>
        <v>0</v>
      </c>
      <c r="BW10" s="29">
        <f>IF($C$42&gt;(BS10-BS10/100*$FF$34),IF($C$42&lt;(BT10+BT10/100*$FF$34),0,1),1)</f>
        <v>0</v>
      </c>
      <c r="BX10" s="56">
        <v>-1E-05</v>
      </c>
      <c r="BY10" s="33">
        <v>1</v>
      </c>
      <c r="BZ10" s="52">
        <f>IF($C$42&gt;BX10,IF($C$42&lt;BY10,0,1),1)</f>
        <v>0</v>
      </c>
      <c r="CA10" s="52">
        <f>IF($C$42&gt;(BX10-BX10/100*$M$35),IF($C$42&lt;(BY10+BY10/100*$M$35),0,1),1)</f>
        <v>0</v>
      </c>
      <c r="CB10" s="29">
        <f>IF($C$42&gt;(BX10-BX10/100*$FF$34),IF($C$42&lt;(BY10+BY10/100*$FF$34),0,1),1)</f>
        <v>0</v>
      </c>
      <c r="CC10" s="56">
        <v>-1E-05</v>
      </c>
      <c r="CD10" s="33">
        <v>1</v>
      </c>
      <c r="CE10" s="52">
        <f>IF($C$42&gt;CC10,IF($C$42&lt;CD10,0,1),1)</f>
        <v>0</v>
      </c>
      <c r="CF10" s="52">
        <f>IF($C$42&gt;(CC10-CC10/100*$M$35),IF($C$42&lt;(CD10+CD10/100*$M$35),0,1),1)</f>
        <v>0</v>
      </c>
      <c r="CG10" s="29">
        <f>IF($C$42&gt;(CC10-CC10/100*$FF$34),IF($C$42&lt;(CD10+CD10/100*$FF$34),0,1),1)</f>
        <v>0</v>
      </c>
      <c r="CH10" s="56">
        <v>-1E-05</v>
      </c>
      <c r="CI10" s="33">
        <v>1</v>
      </c>
      <c r="CJ10" s="52">
        <f>IF($C$42&gt;CH10,IF($C$42&lt;CI10,0,1),1)</f>
        <v>0</v>
      </c>
      <c r="CK10" s="52">
        <f>IF($C$42&gt;(CH10-CH10/100*$M$35),IF($C$42&lt;(CI10+CI10/100*$M$35),0,1),1)</f>
        <v>0</v>
      </c>
      <c r="CL10" s="29">
        <f>IF($C$42&gt;(CH10-CH10/100*$FF$34),IF($C$42&lt;(CI10+CI10/100*$FF$34),0,1),1)</f>
        <v>0</v>
      </c>
      <c r="CM10" s="56">
        <v>-1E-05</v>
      </c>
      <c r="CN10" s="33">
        <v>1</v>
      </c>
      <c r="CO10" s="52">
        <f>IF($C$42&gt;CM10,IF($C$42&lt;CN10,0,1),1)</f>
        <v>0</v>
      </c>
      <c r="CP10" s="52">
        <f>IF($C$42&gt;(CM10-CM10/100*$M$35),IF($C$42&lt;(CN10+CN10/100*$M$35),0,1),1)</f>
        <v>0</v>
      </c>
      <c r="CQ10" s="29">
        <f>IF($C$42&gt;(CM10-CM10/100*$FF$34),IF($C$42&lt;(CN10+CN10/100*$FF$34),0,1),1)</f>
        <v>0</v>
      </c>
      <c r="CR10" s="56">
        <v>-1E-05</v>
      </c>
      <c r="CS10" s="33">
        <v>1</v>
      </c>
      <c r="CT10" s="52">
        <f>IF($C$42&gt;CR10,IF($C$42&lt;CS10,0,1),1)</f>
        <v>0</v>
      </c>
      <c r="CU10" s="52">
        <f>IF($C$42&gt;(CR10-CR10/100*$M$35),IF($C$42&lt;(CS10+CS10/100*$M$35),0,1),1)</f>
        <v>0</v>
      </c>
      <c r="CV10" s="29">
        <f>IF($C$42&gt;(CR10-CR10/100*$FF$34),IF($C$42&lt;(CS10+CS10/100*$FF$34),0,1),1)</f>
        <v>0</v>
      </c>
      <c r="CW10" s="56">
        <v>-1E-05</v>
      </c>
      <c r="CX10" s="33">
        <v>1</v>
      </c>
      <c r="CY10" s="52">
        <f>IF($C$42&gt;CW10,IF($C$42&lt;CX10,0,1),1)</f>
        <v>0</v>
      </c>
      <c r="CZ10" s="52">
        <f>IF($C$42&gt;(CW10-CW10/100*$M$35),IF($C$42&lt;(CX10+CX10/100*$M$35),0,1),1)</f>
        <v>0</v>
      </c>
      <c r="DA10" s="29">
        <f>IF($C$42&gt;(CW10-CW10/100*$FF$34),IF($C$42&lt;(CX10+CX10/100*$FF$34),0,1),1)</f>
        <v>0</v>
      </c>
      <c r="DB10" s="56">
        <v>-1E-05</v>
      </c>
      <c r="DC10" s="33">
        <v>2</v>
      </c>
      <c r="DD10" s="52">
        <f>IF($C$42&gt;DB10,IF($C$42&lt;DC10,0,1),1)</f>
        <v>0</v>
      </c>
      <c r="DE10" s="52">
        <f>IF($C$42&gt;(DB10-DB10/100*$M$35),IF($C$42&lt;(DC10+DC10/100*$M$35),0,1),1)</f>
        <v>0</v>
      </c>
      <c r="DF10" s="29">
        <f>IF($C$42&gt;(DB10-DB10/100*$FF$34),IF($C$42&lt;(DC10+DC10/100*$FF$34),0,1),1)</f>
        <v>0</v>
      </c>
      <c r="DG10" s="56">
        <v>-1E-05</v>
      </c>
      <c r="DH10" s="33">
        <v>2</v>
      </c>
      <c r="DI10" s="52">
        <f>IF($C$42&gt;DG10,IF($C$42&lt;DH10,0,1),1)</f>
        <v>0</v>
      </c>
      <c r="DJ10" s="52">
        <f>IF($C$42&gt;(DG10-DG10/100*$M$35),IF($C$42&lt;(DH10+DH10/100*$M$35),0,1),1)</f>
        <v>0</v>
      </c>
      <c r="DK10" s="29">
        <f>IF($C$42&gt;(DG10-DG10/100*$FF$34),IF($C$42&lt;(DH10+DH10/100*$FF$34),0,1),1)</f>
        <v>0</v>
      </c>
      <c r="DL10" s="56">
        <v>-1E-05</v>
      </c>
      <c r="DM10" s="33">
        <v>2</v>
      </c>
      <c r="DN10" s="52">
        <f>IF($C$42&gt;DL10,IF($C$42&lt;DM10,0,1),1)</f>
        <v>0</v>
      </c>
      <c r="DO10" s="52">
        <f>IF($C$42&gt;(DL10-DL10/100*$M$35),IF($C$42&lt;(DM10+DM10/100*$M$35),0,1),1)</f>
        <v>0</v>
      </c>
      <c r="DP10" s="29">
        <f>IF($C$42&gt;(DL10-DL10/100*$FF$34),IF($C$42&lt;(DM10+DM10/100*$FF$34),0,1),1)</f>
        <v>0</v>
      </c>
      <c r="DQ10" s="56">
        <v>-1E-05</v>
      </c>
      <c r="DR10" s="33">
        <v>2</v>
      </c>
      <c r="DS10" s="52">
        <f>IF($C$42&gt;DQ10,IF($C$42&lt;DR10,0,1),1)</f>
        <v>0</v>
      </c>
      <c r="DT10" s="52">
        <f>IF($C$42&gt;(DQ10-DQ10/100*$M$35),IF($C$42&lt;(DR10+DR10/100*$M$35),0,1),1)</f>
        <v>0</v>
      </c>
      <c r="DU10" s="29">
        <f>IF($C$42&gt;(DQ10-DQ10/100*$FF$34),IF($C$42&lt;(DR10+DR10/100*$FF$34),0,1),1)</f>
        <v>0</v>
      </c>
      <c r="DV10" s="56">
        <v>-1E-05</v>
      </c>
      <c r="DW10" s="33">
        <v>2</v>
      </c>
      <c r="DX10" s="52">
        <f>IF($C$42&gt;DV10,IF($C$42&lt;DW10,0,1),1)</f>
        <v>0</v>
      </c>
      <c r="DY10" s="52">
        <f>IF($C$42&gt;(DV10-DV10/100*$M$35),IF($C$42&lt;(DW10+DW10/100*$M$35),0,1),1)</f>
        <v>0</v>
      </c>
      <c r="DZ10" s="29">
        <f>IF($C$42&gt;(DV10-DV10/100*$FF$34),IF($C$42&lt;(DW10+DW10/100*$FF$34),0,1),1)</f>
        <v>0</v>
      </c>
      <c r="EA10" s="56">
        <v>-1E-05</v>
      </c>
      <c r="EB10" s="33">
        <v>2</v>
      </c>
      <c r="EC10" s="52">
        <f>IF($C$42&gt;EA10,IF($C$42&lt;EB10,0,1),1)</f>
        <v>0</v>
      </c>
      <c r="ED10" s="52">
        <f>IF($C$42&gt;(EA10-EA10/100*$M$35),IF($C$42&lt;(EB10+EB10/100*$M$35),0,1),1)</f>
        <v>0</v>
      </c>
      <c r="EE10" s="29">
        <f>IF($C$42&gt;(EA10-EA10/100*$FF$34),IF($C$42&lt;(EB10+EB10/100*$FF$34),0,1),1)</f>
        <v>0</v>
      </c>
      <c r="EF10" s="56">
        <v>-1E-05</v>
      </c>
      <c r="EG10" s="33">
        <v>1</v>
      </c>
      <c r="EH10" s="52">
        <f>IF($C$42&gt;EF10,IF($C$42&lt;EG10,0,1),1)</f>
        <v>0</v>
      </c>
      <c r="EI10" s="52">
        <f>IF($C$42&gt;(EF10-EF10/100*$M$35),IF($C$42&lt;(EG10+EG10/100*$M$35),0,1),1)</f>
        <v>0</v>
      </c>
      <c r="EJ10" s="29">
        <f>IF($C$42&gt;(EF10-EF10/100*$FF$34),IF($C$42&lt;(EG10+EG10/100*$FF$34),0,1),1)</f>
        <v>0</v>
      </c>
      <c r="EK10" s="56">
        <v>-1E-05</v>
      </c>
      <c r="EL10" s="33">
        <v>1</v>
      </c>
      <c r="EM10" s="52">
        <f>IF($C$42&gt;EK10,IF($C$42&lt;EL10,0,1),1)</f>
        <v>0</v>
      </c>
      <c r="EN10" s="52">
        <f>IF($C$42&gt;(EK10-EK10/100*$M$35),IF($C$42&lt;(EL10+EL10/100*$M$35),0,1),1)</f>
        <v>0</v>
      </c>
      <c r="EO10" s="29">
        <f>IF($C$42&gt;(EK10-EK10/100*$FF$34),IF($C$42&lt;(EL10+EL10/100*$FF$34),0,1),1)</f>
        <v>0</v>
      </c>
      <c r="EP10" s="56">
        <v>-1E-05</v>
      </c>
      <c r="EQ10" s="33">
        <v>1</v>
      </c>
      <c r="ER10" s="52">
        <f>IF($C$42&gt;EP10,IF($C$42&lt;EQ10,0,1),1)</f>
        <v>0</v>
      </c>
      <c r="ES10" s="52">
        <f>IF($C$42&gt;(EP10-EP10/100*$M$35),IF($C$42&lt;(EQ10+EQ10/100*$M$35),0,1),1)</f>
        <v>0</v>
      </c>
      <c r="ET10" s="29">
        <f>IF($C$42&gt;(EP10-EP10/100*$FF$34),IF($C$42&lt;(EQ10+EQ10/100*$FF$34),0,1),1)</f>
        <v>0</v>
      </c>
      <c r="EU10" s="56">
        <v>-1E-05</v>
      </c>
      <c r="EV10" s="33">
        <v>1</v>
      </c>
      <c r="EW10" s="52">
        <f>IF($C$42&gt;EU10,IF($C$42&lt;EV10,0,1),1)</f>
        <v>0</v>
      </c>
      <c r="EX10" s="52">
        <f>IF($C$42&gt;(EU10-EU10/100*$M$35),IF($C$42&lt;(EV10+EV10/100*$M$35),0,1),1)</f>
        <v>0</v>
      </c>
      <c r="EY10" s="29">
        <f>IF($C$42&gt;(EU10-EU10/100*$FF$34),IF($C$42&lt;(EV10+EV10/100*$FF$34),0,1),1)</f>
        <v>0</v>
      </c>
      <c r="EZ10" s="56">
        <v>-1E-05</v>
      </c>
      <c r="FA10" s="33">
        <v>1</v>
      </c>
      <c r="FB10" s="52">
        <f>IF($C$42&gt;EZ10,IF($C$42&lt;FA10,0,1),1)</f>
        <v>0</v>
      </c>
      <c r="FC10" s="52">
        <f>IF($C$42&gt;(EZ10-EZ10/100*$M$35),IF($C$42&lt;(FA10+FA10/100*$M$35),0,1),1)</f>
        <v>0</v>
      </c>
      <c r="FD10" s="29">
        <f>IF($C$42&gt;(EZ10-EZ10/100*$FF$34),IF($C$42&lt;(FA10+FA10/100*$FF$34),0,1),1)</f>
        <v>0</v>
      </c>
      <c r="FE10" s="56">
        <v>-1E-05</v>
      </c>
      <c r="FF10" s="33">
        <v>1</v>
      </c>
      <c r="FG10" s="52">
        <f>IF($C$42&gt;FE10,IF($C$42&lt;FF10,0,1),1)</f>
        <v>0</v>
      </c>
      <c r="FH10" s="52">
        <f>IF($C$42&gt;(FE10-FE10/100*$M$35),IF($C$42&lt;(FF10+FF10/100*$M$35),0,1),1)</f>
        <v>0</v>
      </c>
      <c r="FI10" s="29">
        <f>IF($C$42&gt;(FE10-FE10/100*$FF$34),IF($C$42&lt;(FF10+FF10/100*$FF$34),0,1),1)</f>
        <v>0</v>
      </c>
      <c r="FJ10" s="56">
        <v>-1E-05</v>
      </c>
      <c r="FK10" s="33">
        <v>1</v>
      </c>
      <c r="FL10" s="52">
        <f>IF($C$42&gt;FJ10,IF($C$42&lt;FK10,0,1),1)</f>
        <v>0</v>
      </c>
      <c r="FM10" s="52">
        <f>IF($C$42&gt;(FJ10-FJ10/100*$M$35),IF($C$42&lt;(FK10+FK10/100*$M$35),0,1),1)</f>
        <v>0</v>
      </c>
      <c r="FN10" s="29">
        <f>IF($C$42&gt;(FJ10-FJ10/100*$FF$34),IF($C$42&lt;(FK10+FK10/100*$FF$34),0,1),1)</f>
        <v>0</v>
      </c>
      <c r="FO10" s="56">
        <v>-1E-05</v>
      </c>
      <c r="FP10" s="33">
        <v>1</v>
      </c>
      <c r="FQ10" s="52">
        <f>IF($C$42&gt;FO10,IF($C$42&lt;FP10,0,1),1)</f>
        <v>0</v>
      </c>
      <c r="FR10" s="52">
        <f>IF($C$42&gt;(FO10-FO10/100*$M$35),IF($C$42&lt;(FP10+FP10/100*$M$35),0,1),1)</f>
        <v>0</v>
      </c>
      <c r="FS10" s="29">
        <f>IF($C$42&gt;(FO10-FO10/100*$FF$34),IF($C$42&lt;(FP10+FP10/100*$FF$34),0,1),1)</f>
        <v>0</v>
      </c>
      <c r="FT10" s="56">
        <v>-1E-05</v>
      </c>
      <c r="FU10" s="33">
        <v>1</v>
      </c>
      <c r="FV10" s="52">
        <f>IF($C$42&gt;FT10,IF($C$42&lt;FU10,0,1),1)</f>
        <v>0</v>
      </c>
      <c r="FW10" s="52">
        <f>IF($C$42&gt;(FT10-FT10/100*$M$35),IF($C$42&lt;(FU10+FU10/100*$M$35),0,1),1)</f>
        <v>0</v>
      </c>
      <c r="FX10" s="29">
        <f>IF($C$42&gt;(FT10-FT10/100*$FF$34),IF($C$42&lt;(FU10+FU10/100*$FF$34),0,1),1)</f>
        <v>0</v>
      </c>
      <c r="FY10" s="56">
        <v>6</v>
      </c>
      <c r="FZ10" s="33">
        <v>13.5</v>
      </c>
      <c r="GA10" s="52">
        <f>IF($C$42&gt;FY10,IF($C$42&lt;FZ10,0,1),1)</f>
        <v>1</v>
      </c>
      <c r="GB10" s="52">
        <f>IF($C$42&gt;(FY10-FY10/100*$M$35),IF($C$42&lt;(FZ10+FZ10/100*$M$35),0,1),1)</f>
        <v>1</v>
      </c>
      <c r="GC10" s="29">
        <f>IF($C$42&gt;(FY10-FY10/100*$FF$34),IF($C$42&lt;(FZ10+FZ10/100*$FF$34),0,1),1)</f>
        <v>1</v>
      </c>
      <c r="GD10" s="56">
        <v>6</v>
      </c>
      <c r="GE10" s="33">
        <v>13</v>
      </c>
      <c r="GF10" s="52">
        <f>IF($C$42&gt;GD10,IF($C$42&lt;GE10,0,1),1)</f>
        <v>1</v>
      </c>
      <c r="GG10" s="52">
        <f>IF($C$42&gt;(GD10-GD10/100*$M$35),IF($C$42&lt;(GE10+GE10/100*$M$35),0,1),1)</f>
        <v>1</v>
      </c>
      <c r="GH10" s="29">
        <f>IF($C$42&gt;(GD10-GD10/100*$FF$34),IF($C$42&lt;(GE10+GE10/100*$FF$34),0,1),1)</f>
        <v>1</v>
      </c>
      <c r="GI10" s="56">
        <v>5.5</v>
      </c>
      <c r="GJ10" s="33">
        <v>12.5</v>
      </c>
      <c r="GK10" s="52">
        <f>IF($C$42&gt;GI10,IF($C$42&lt;GJ10,0,1),1)</f>
        <v>1</v>
      </c>
      <c r="GL10" s="52">
        <f>IF($C$42&gt;(GI10-GI10/100*$M$35),IF($C$42&lt;(GJ10+GJ10/100*$M$35),0,1),1)</f>
        <v>1</v>
      </c>
      <c r="GM10" s="29">
        <f>IF($C$42&gt;(GI10-GI10/100*$FF$34),IF($C$42&lt;(GJ10+GJ10/100*$FF$34),0,1),1)</f>
        <v>1</v>
      </c>
      <c r="GN10" s="56">
        <v>5.5</v>
      </c>
      <c r="GO10" s="33">
        <v>12</v>
      </c>
      <c r="GP10" s="52">
        <f>IF($C$42&gt;GN10,IF($C$42&lt;GO10,0,1),1)</f>
        <v>1</v>
      </c>
      <c r="GQ10" s="52">
        <f>IF($C$42&gt;(GN10-GN10/100*$M$35),IF($C$42&lt;(GO10+GO10/100*$M$35),0,1),1)</f>
        <v>1</v>
      </c>
      <c r="GR10" s="29">
        <f>IF($C$42&gt;(GN10-GN10/100*$FF$34),IF($C$42&lt;(GO10+GO10/100*$FF$34),0,1),1)</f>
        <v>1</v>
      </c>
      <c r="GS10" s="56">
        <v>-1E-05</v>
      </c>
      <c r="GT10" s="33">
        <v>1</v>
      </c>
      <c r="GU10" s="52">
        <f>IF($C$42&gt;GS10,IF($C$42&lt;GT10,0,1),1)</f>
        <v>0</v>
      </c>
      <c r="GV10" s="52">
        <f>IF($C$42&gt;(GS10-GS10/100*$M$35),IF($C$42&lt;(GT10+GT10/100*$M$35),0,1),1)</f>
        <v>0</v>
      </c>
      <c r="GW10" s="29">
        <f>IF($C$42&gt;(GS10-GS10/100*$FF$34),IF($C$42&lt;(GT10+GT10/100*$FF$34),0,1),1)</f>
        <v>0</v>
      </c>
      <c r="GX10" s="56">
        <v>-1E-05</v>
      </c>
      <c r="GY10" s="33">
        <v>1</v>
      </c>
      <c r="GZ10" s="52">
        <f>IF($C$42&gt;GX10,IF($C$42&lt;GY10,0,1),1)</f>
        <v>0</v>
      </c>
      <c r="HA10" s="52">
        <f>IF($C$42&gt;(GX10-GX10/100*$M$35),IF($C$42&lt;(GY10+GY10/100*$M$35),0,1),1)</f>
        <v>0</v>
      </c>
      <c r="HB10" s="29">
        <f>IF($C$42&gt;(GX10-GX10/100*$FF$34),IF($C$42&lt;(GY10+GY10/100*$FF$34),0,1),1)</f>
        <v>0</v>
      </c>
      <c r="HC10" s="56">
        <v>-1E-05</v>
      </c>
      <c r="HD10" s="33">
        <v>2</v>
      </c>
      <c r="HE10" s="52">
        <f>IF($C$42&gt;HC10,IF($C$42&lt;HD10,0,1),1)</f>
        <v>0</v>
      </c>
      <c r="HF10" s="52">
        <f>IF($C$42&gt;(HC10-HC10/100*$M$35),IF($C$42&lt;(HD10+HD10/100*$M$35),0,1),1)</f>
        <v>0</v>
      </c>
      <c r="HG10" s="29">
        <f>IF($C$42&gt;(HC10-HC10/100*$FF$34),IF($C$42&lt;(HD10+HD10/100*$FF$34),0,1),1)</f>
        <v>0</v>
      </c>
      <c r="HH10" s="56">
        <v>-1E-05</v>
      </c>
      <c r="HI10" s="33">
        <v>1</v>
      </c>
      <c r="HJ10" s="52">
        <f>IF($C$42&gt;HH10,IF($C$42&lt;HI10,0,1),1)</f>
        <v>0</v>
      </c>
      <c r="HK10" s="52">
        <f>IF($C$42&gt;(HH10-HH10/100*$M$35),IF($C$42&lt;(HI10+HI10/100*$M$35),0,1),1)</f>
        <v>0</v>
      </c>
      <c r="HL10" s="29">
        <f>IF($C$42&gt;(HH10-HH10/100*$FF$34),IF($C$42&lt;(HI10+HI10/100*$FF$34),0,1),1)</f>
        <v>0</v>
      </c>
      <c r="HM10" s="56">
        <v>-1E-05</v>
      </c>
      <c r="HN10" s="33">
        <v>1</v>
      </c>
      <c r="HO10" s="52">
        <f>IF($C$42&gt;HM10,IF($C$42&lt;HN10,0,1),1)</f>
        <v>0</v>
      </c>
      <c r="HP10" s="52">
        <f>IF($C$42&gt;(HM10-HM10/100*$M$35),IF($C$42&lt;(HN10+HN10/100*$M$35),0,1),1)</f>
        <v>0</v>
      </c>
      <c r="HQ10" s="29">
        <f>IF($C$42&gt;(HM10-HM10/100*$FF$34),IF($C$42&lt;(HN10+HN10/100*$FF$34),0,1),1)</f>
        <v>0</v>
      </c>
      <c r="HR10" s="56">
        <v>-1E-05</v>
      </c>
      <c r="HS10" s="33">
        <v>1</v>
      </c>
      <c r="HT10" s="52">
        <f>IF($C$42&gt;HR10,IF($C$42&lt;HS10,0,1),1)</f>
        <v>0</v>
      </c>
      <c r="HU10" s="52">
        <f>IF($C$42&gt;(HR10-HR10/100*$M$35),IF($C$42&lt;(HS10+HS10/100*$M$35),0,1),1)</f>
        <v>0</v>
      </c>
      <c r="HV10" s="29">
        <f>IF($C$42&gt;(HR10-HR10/100*$FF$34),IF($C$42&lt;(HS10+HS10/100*$FF$34),0,1),1)</f>
        <v>0</v>
      </c>
      <c r="HW10" s="56">
        <v>-1E-05</v>
      </c>
      <c r="HX10" s="33">
        <v>1</v>
      </c>
      <c r="HY10" s="52">
        <f>IF($C$42&gt;HW10,IF($C$42&lt;HX10,0,1),1)</f>
        <v>0</v>
      </c>
      <c r="HZ10" s="52">
        <f>IF($C$42&gt;(HW10-HW10/100*$M$35),IF($C$42&lt;(HX10+HX10/100*$M$35),0,1),1)</f>
        <v>0</v>
      </c>
      <c r="IA10" s="29">
        <f>IF($C$42&gt;(HW10-HW10/100*$FF$34),IF($C$42&lt;(HX10+HX10/100*$FF$34),0,1),1)</f>
        <v>0</v>
      </c>
      <c r="IB10" s="56">
        <v>-1E-05</v>
      </c>
      <c r="IC10" s="33">
        <v>1</v>
      </c>
      <c r="ID10" s="52">
        <f>IF($C$42&gt;IB10,IF($C$42&lt;IC10,0,1),1)</f>
        <v>0</v>
      </c>
      <c r="IE10" s="52">
        <f>IF($C$42&gt;(IB10-IB10/100*$M$35),IF($C$42&lt;(IC10+IC10/100*$M$35),0,1),1)</f>
        <v>0</v>
      </c>
      <c r="IF10" s="29">
        <f>IF($C$42&gt;(IB10-IB10/100*$FF$34),IF($C$42&lt;(IC10+IC10/100*$FF$34),0,1),1)</f>
        <v>0</v>
      </c>
      <c r="IG10" s="56">
        <v>-1E-05</v>
      </c>
      <c r="IH10" s="33">
        <v>1</v>
      </c>
      <c r="II10" s="52">
        <f>IF($C$42&gt;IG10,IF($C$42&lt;IH10,0,1),1)</f>
        <v>0</v>
      </c>
      <c r="IJ10" s="52">
        <f>IF($C$42&gt;(IG10-IG10/100*$M$35),IF($C$42&lt;(IH10+IH10/100*$M$35),0,1),1)</f>
        <v>0</v>
      </c>
      <c r="IK10" s="29">
        <f>IF($C$42&gt;(IG10-IG10/100*$FF$34),IF($C$42&lt;(IH10+IH10/100*$FF$34),0,1),1)</f>
        <v>0</v>
      </c>
      <c r="IL10" s="61"/>
    </row>
    <row r="11" spans="1:246" ht="12" customHeight="1">
      <c r="A11" s="60"/>
      <c r="B11" s="3" t="s">
        <v>79</v>
      </c>
      <c r="C11" s="124"/>
      <c r="D11" s="124"/>
      <c r="E11" s="124"/>
      <c r="F11" s="61"/>
      <c r="H11" s="10" t="s">
        <v>80</v>
      </c>
      <c r="I11" s="3" t="str">
        <f>CONCATENATE("(&lt; ",BR36,")")</f>
        <v>(&lt; 1,5)</v>
      </c>
      <c r="J11" s="23" t="str">
        <f>IF(C37=0,"-",IF(C37&gt;BR36,"nein","ja"))</f>
        <v>ja</v>
      </c>
      <c r="K11" s="114"/>
      <c r="L11" s="10" t="s">
        <v>80</v>
      </c>
      <c r="M11" s="3" t="str">
        <f>CONCATENATE("(&lt; ",BT36,")")</f>
        <v>(&lt; 1,5)</v>
      </c>
      <c r="N11" s="23" t="str">
        <f>IF(C37=0,"-",IF(C37&gt;BT36,"nein","ja"))</f>
        <v>ja</v>
      </c>
      <c r="O11" s="3"/>
      <c r="P11" s="10" t="s">
        <v>80</v>
      </c>
      <c r="Q11" s="3" t="str">
        <f>CONCATENATE("(&lt; ",BV36,")")</f>
        <v>(&lt; 2)</v>
      </c>
      <c r="R11" s="23" t="str">
        <f>IF(C37=0,"-",IF(C37&gt;BV36,"nein","ja"))</f>
        <v>ja</v>
      </c>
      <c r="S11" s="3"/>
      <c r="T11" s="10" t="s">
        <v>80</v>
      </c>
      <c r="U11" s="3" t="str">
        <f>CONCATENATE("(&lt; ",BX36,")")</f>
        <v>(&lt; 2)</v>
      </c>
      <c r="V11" s="23" t="str">
        <f>IF(C37=0,"-",IF(C37&gt;BX36,"nein","ja"))</f>
        <v>ja</v>
      </c>
      <c r="X11" s="60"/>
      <c r="Y11" s="128" t="str">
        <f t="shared" si="0"/>
        <v>Ca</v>
      </c>
      <c r="Z11" s="56">
        <v>-1E-05</v>
      </c>
      <c r="AA11" s="33">
        <v>1</v>
      </c>
      <c r="AB11" s="52">
        <f>IF($C$43&gt;Z11,IF($C$43&lt;AA11,0,1),1)</f>
        <v>1</v>
      </c>
      <c r="AC11" s="52">
        <f>IF($C$43&gt;(Z11-Z11/100*$M$35),IF($C$43&lt;(AA11+AA11/100*$M$35),0,1),1)</f>
        <v>1</v>
      </c>
      <c r="AD11" s="29">
        <f>IF($C$43&gt;(Z11-Z11/100*$FF$34),IF($C$43&lt;(AA11+AA11/100*$FF$34),0,1),1)</f>
        <v>1</v>
      </c>
      <c r="AE11" s="56">
        <v>-1E-05</v>
      </c>
      <c r="AF11" s="33">
        <v>1</v>
      </c>
      <c r="AG11" s="52">
        <f>IF($C$43&gt;AE11,IF($C$43&lt;AF11,0,1),1)</f>
        <v>1</v>
      </c>
      <c r="AH11" s="52">
        <f>IF($C$43&gt;(AE11-AE11/100*$M$35),IF($C$43&lt;(AF11+AF11/100*$M$35),0,1),1)</f>
        <v>1</v>
      </c>
      <c r="AI11" s="29">
        <f>IF($C$43&gt;(AE11-AE11/100*$FF$34),IF($C$43&lt;(AF11+AF11/100*$FF$34),0,1),1)</f>
        <v>1</v>
      </c>
      <c r="AJ11" s="56">
        <v>15.5</v>
      </c>
      <c r="AK11" s="33">
        <v>21.5</v>
      </c>
      <c r="AL11" s="52">
        <f>IF($C$43&gt;AJ11,IF($C$43&lt;AK11,0,1),1)</f>
        <v>1</v>
      </c>
      <c r="AM11" s="52">
        <f>IF($C$43&gt;(AJ11-AJ11/100*$M$35),IF($C$43&lt;(AK11+AK11/100*$M$35),0,1),1)</f>
        <v>1</v>
      </c>
      <c r="AN11" s="29">
        <f>IF($C$43&gt;(AJ11-AJ11/100*$FF$34),IF($C$43&lt;(AK11+AK11/100*$FF$34),0,1),1)</f>
        <v>1</v>
      </c>
      <c r="AO11" s="56">
        <v>13</v>
      </c>
      <c r="AP11" s="33">
        <v>19</v>
      </c>
      <c r="AQ11" s="52">
        <f>IF($C$43&gt;AO11,IF($C$43&lt;AP11,0,1),1)</f>
        <v>1</v>
      </c>
      <c r="AR11" s="52">
        <f>IF($C$43&gt;(AO11-AO11/100*$M$35),IF($C$43&lt;(AP11+AP11/100*$M$35),0,1),1)</f>
        <v>1</v>
      </c>
      <c r="AS11" s="29">
        <f>IF($C$43&gt;(AO11-AO11/100*$FF$34),IF($C$43&lt;(AP11+AP11/100*$FF$34),0,1),1)</f>
        <v>1</v>
      </c>
      <c r="AT11" s="56">
        <v>13</v>
      </c>
      <c r="AU11" s="33">
        <v>18.5</v>
      </c>
      <c r="AV11" s="52">
        <f>IF($C$43&gt;AT11,IF($C$43&lt;AU11,0,1),1)</f>
        <v>1</v>
      </c>
      <c r="AW11" s="52">
        <f>IF($C$43&gt;(AT11-AT11/100*$M$35),IF($C$43&lt;(AU11+AU11/100*$M$35),0,1),1)</f>
        <v>1</v>
      </c>
      <c r="AX11" s="29">
        <f>IF($C$43&gt;(AT11-AT11/100*$FF$34),IF($C$43&lt;(AU11+AU11/100*$FF$34),0,1),1)</f>
        <v>1</v>
      </c>
      <c r="AY11" s="56">
        <v>3.5</v>
      </c>
      <c r="AZ11" s="33">
        <v>9.5</v>
      </c>
      <c r="BA11" s="52">
        <f>IF($C$43&gt;AY11,IF($C$43&lt;AZ11,0,1),1)</f>
        <v>1</v>
      </c>
      <c r="BB11" s="52">
        <f>IF($C$43&gt;(AY11-AY11/100*$M$35),IF($C$43&lt;(AZ11+AZ11/100*$M$35),0,1),1)</f>
        <v>1</v>
      </c>
      <c r="BC11" s="29">
        <f>IF($C$43&gt;(AY11-AY11/100*$FF$34),IF($C$43&lt;(AZ11+AZ11/100*$FF$34),0,1),1)</f>
        <v>1</v>
      </c>
      <c r="BD11" s="56">
        <v>10.5</v>
      </c>
      <c r="BE11" s="33">
        <v>16.5</v>
      </c>
      <c r="BF11" s="52">
        <f>IF($C$43&gt;BD11,IF($C$43&lt;BE11,0,1),1)</f>
        <v>1</v>
      </c>
      <c r="BG11" s="52">
        <f>IF($C$43&gt;(BD11-BD11/100*$M$35),IF($C$43&lt;(BE11+BE11/100*$M$35),0,1),1)</f>
        <v>1</v>
      </c>
      <c r="BH11" s="29">
        <f>IF($C$43&gt;(BD11-BD11/100*$FF$34),IF($C$43&lt;(BE11+BE11/100*$FF$34),0,1),1)</f>
        <v>1</v>
      </c>
      <c r="BI11" s="56">
        <v>10</v>
      </c>
      <c r="BJ11" s="33">
        <v>16</v>
      </c>
      <c r="BK11" s="52">
        <f>IF($C$43&gt;BI11,IF($C$43&lt;BJ11,0,1),1)</f>
        <v>1</v>
      </c>
      <c r="BL11" s="52">
        <f>IF($C$43&gt;(BI11-BI11/100*$M$35),IF($C$43&lt;(BJ11+BJ11/100*$M$35),0,1),1)</f>
        <v>1</v>
      </c>
      <c r="BM11" s="29">
        <f>IF($C$43&gt;(BI11-BI11/100*$FF$34),IF($C$43&lt;(BJ11+BJ11/100*$FF$34),0,1),1)</f>
        <v>1</v>
      </c>
      <c r="BN11" s="56">
        <v>7</v>
      </c>
      <c r="BO11" s="33">
        <v>13</v>
      </c>
      <c r="BP11" s="52">
        <f>IF($C$43&gt;BN11,IF($C$43&lt;BO11,0,1),1)</f>
        <v>0</v>
      </c>
      <c r="BQ11" s="52">
        <f>IF($C$43&gt;(BN11-BN11/100*$M$35),IF($C$43&lt;(BO11+BO11/100*$M$35),0,1),1)</f>
        <v>0</v>
      </c>
      <c r="BR11" s="29">
        <f>IF($C$43&gt;(BN11-BN11/100*$FF$34),IF($C$43&lt;(BO11+BO11/100*$FF$34),0,1),1)</f>
        <v>0</v>
      </c>
      <c r="BS11" s="56">
        <v>6.5</v>
      </c>
      <c r="BT11" s="33">
        <v>12.5</v>
      </c>
      <c r="BU11" s="52">
        <f>IF($C$43&gt;BS11,IF($C$43&lt;BT11,0,1),1)</f>
        <v>0</v>
      </c>
      <c r="BV11" s="52">
        <f>IF($C$43&gt;(BS11-BS11/100*$M$35),IF($C$43&lt;(BT11+BT11/100*$M$35),0,1),1)</f>
        <v>0</v>
      </c>
      <c r="BW11" s="29">
        <f>IF($C$43&gt;(BS11-BS11/100*$FF$34),IF($C$43&lt;(BT11+BT11/100*$FF$34),0,1),1)</f>
        <v>0</v>
      </c>
      <c r="BX11" s="56">
        <v>2</v>
      </c>
      <c r="BY11" s="33">
        <v>5.5</v>
      </c>
      <c r="BZ11" s="52">
        <f>IF($C$43&gt;BX11,IF($C$43&lt;BY11,0,1),1)</f>
        <v>1</v>
      </c>
      <c r="CA11" s="52">
        <f>IF($C$43&gt;(BX11-BX11/100*$M$35),IF($C$43&lt;(BY11+BY11/100*$M$35),0,1),1)</f>
        <v>1</v>
      </c>
      <c r="CB11" s="29">
        <f>IF($C$43&gt;(BX11-BX11/100*$FF$34),IF($C$43&lt;(BY11+BY11/100*$FF$34),0,1),1)</f>
        <v>1</v>
      </c>
      <c r="CC11" s="56">
        <v>2</v>
      </c>
      <c r="CD11" s="33">
        <v>5.5</v>
      </c>
      <c r="CE11" s="52">
        <f>IF($C$43&gt;CC11,IF($C$43&lt;CD11,0,1),1)</f>
        <v>1</v>
      </c>
      <c r="CF11" s="52">
        <f>IF($C$43&gt;(CC11-CC11/100*$M$35),IF($C$43&lt;(CD11+CD11/100*$M$35),0,1),1)</f>
        <v>1</v>
      </c>
      <c r="CG11" s="29">
        <f>IF($C$43&gt;(CC11-CC11/100*$FF$34),IF($C$43&lt;(CD11+CD11/100*$FF$34),0,1),1)</f>
        <v>1</v>
      </c>
      <c r="CH11" s="56">
        <v>-1E-05</v>
      </c>
      <c r="CI11" s="33">
        <v>1</v>
      </c>
      <c r="CJ11" s="52">
        <f>IF($C$43&gt;CH11,IF($C$43&lt;CI11,0,1),1)</f>
        <v>1</v>
      </c>
      <c r="CK11" s="52">
        <f>IF($C$43&gt;(CH11-CH11/100*$M$35),IF($C$43&lt;(CI11+CI11/100*$M$35),0,1),1)</f>
        <v>1</v>
      </c>
      <c r="CL11" s="29">
        <f>IF($C$43&gt;(CH11-CH11/100*$FF$34),IF($C$43&lt;(CI11+CI11/100*$FF$34),0,1),1)</f>
        <v>1</v>
      </c>
      <c r="CM11" s="56">
        <v>-1E-05</v>
      </c>
      <c r="CN11" s="33">
        <v>1</v>
      </c>
      <c r="CO11" s="52">
        <f>IF($C$43&gt;CM11,IF($C$43&lt;CN11,0,1),1)</f>
        <v>1</v>
      </c>
      <c r="CP11" s="52">
        <f>IF($C$43&gt;(CM11-CM11/100*$M$35),IF($C$43&lt;(CN11+CN11/100*$M$35),0,1),1)</f>
        <v>1</v>
      </c>
      <c r="CQ11" s="29">
        <f>IF($C$43&gt;(CM11-CM11/100*$FF$34),IF($C$43&lt;(CN11+CN11/100*$FF$34),0,1),1)</f>
        <v>1</v>
      </c>
      <c r="CR11" s="56">
        <v>-1E-05</v>
      </c>
      <c r="CS11" s="33">
        <v>1</v>
      </c>
      <c r="CT11" s="52">
        <f>IF($C$43&gt;CR11,IF($C$43&lt;CS11,0,1),1)</f>
        <v>1</v>
      </c>
      <c r="CU11" s="52">
        <f>IF($C$43&gt;(CR11-CR11/100*$M$35),IF($C$43&lt;(CS11+CS11/100*$M$35),0,1),1)</f>
        <v>1</v>
      </c>
      <c r="CV11" s="29">
        <f>IF($C$43&gt;(CR11-CR11/100*$FF$34),IF($C$43&lt;(CS11+CS11/100*$FF$34),0,1),1)</f>
        <v>1</v>
      </c>
      <c r="CW11" s="56">
        <v>-1E-05</v>
      </c>
      <c r="CX11" s="33">
        <v>1</v>
      </c>
      <c r="CY11" s="52">
        <f>IF($C$43&gt;CW11,IF($C$43&lt;CX11,0,1),1)</f>
        <v>1</v>
      </c>
      <c r="CZ11" s="52">
        <f>IF($C$43&gt;(CW11-CW11/100*$M$35),IF($C$43&lt;(CX11+CX11/100*$M$35),0,1),1)</f>
        <v>1</v>
      </c>
      <c r="DA11" s="29">
        <f>IF($C$43&gt;(CW11-CW11/100*$FF$34),IF($C$43&lt;(CX11+CX11/100*$FF$34),0,1),1)</f>
        <v>1</v>
      </c>
      <c r="DB11" s="56">
        <v>6.5</v>
      </c>
      <c r="DC11" s="33">
        <v>12.5</v>
      </c>
      <c r="DD11" s="52">
        <f>IF($C$43&gt;DB11,IF($C$43&lt;DC11,0,1),1)</f>
        <v>0</v>
      </c>
      <c r="DE11" s="52">
        <f>IF($C$43&gt;(DB11-DB11/100*$M$35),IF($C$43&lt;(DC11+DC11/100*$M$35),0,1),1)</f>
        <v>0</v>
      </c>
      <c r="DF11" s="29">
        <f>IF($C$43&gt;(DB11-DB11/100*$FF$34),IF($C$43&lt;(DC11+DC11/100*$FF$34),0,1),1)</f>
        <v>0</v>
      </c>
      <c r="DG11" s="56">
        <v>6</v>
      </c>
      <c r="DH11" s="33">
        <v>12</v>
      </c>
      <c r="DI11" s="52">
        <f>IF($C$43&gt;DG11,IF($C$43&lt;DH11,0,1),1)</f>
        <v>0</v>
      </c>
      <c r="DJ11" s="52">
        <f>IF($C$43&gt;(DG11-DG11/100*$M$35),IF($C$43&lt;(DH11+DH11/100*$M$35),0,1),1)</f>
        <v>0</v>
      </c>
      <c r="DK11" s="29">
        <f>IF($C$43&gt;(DG11-DG11/100*$FF$34),IF($C$43&lt;(DH11+DH11/100*$FF$34),0,1),1)</f>
        <v>0</v>
      </c>
      <c r="DL11" s="56">
        <v>6.5</v>
      </c>
      <c r="DM11" s="33">
        <v>12.5</v>
      </c>
      <c r="DN11" s="52">
        <f>IF($C$43&gt;DL11,IF($C$43&lt;DM11,0,1),1)</f>
        <v>0</v>
      </c>
      <c r="DO11" s="52">
        <f>IF($C$43&gt;(DL11-DL11/100*$M$35),IF($C$43&lt;(DM11+DM11/100*$M$35),0,1),1)</f>
        <v>0</v>
      </c>
      <c r="DP11" s="29">
        <f>IF($C$43&gt;(DL11-DL11/100*$FF$34),IF($C$43&lt;(DM11+DM11/100*$FF$34),0,1),1)</f>
        <v>0</v>
      </c>
      <c r="DQ11" s="56">
        <v>6</v>
      </c>
      <c r="DR11" s="33">
        <v>12</v>
      </c>
      <c r="DS11" s="52">
        <f>IF($C$43&gt;DQ11,IF($C$43&lt;DR11,0,1),1)</f>
        <v>0</v>
      </c>
      <c r="DT11" s="52">
        <f>IF($C$43&gt;(DQ11-DQ11/100*$M$35),IF($C$43&lt;(DR11+DR11/100*$M$35),0,1),1)</f>
        <v>0</v>
      </c>
      <c r="DU11" s="29">
        <f>IF($C$43&gt;(DQ11-DQ11/100*$FF$34),IF($C$43&lt;(DR11+DR11/100*$FF$34),0,1),1)</f>
        <v>0</v>
      </c>
      <c r="DV11" s="56">
        <v>6.5</v>
      </c>
      <c r="DW11" s="33">
        <v>12.5</v>
      </c>
      <c r="DX11" s="52">
        <f>IF($C$43&gt;DV11,IF($C$43&lt;DW11,0,1),1)</f>
        <v>0</v>
      </c>
      <c r="DY11" s="52">
        <f>IF($C$43&gt;(DV11-DV11/100*$M$35),IF($C$43&lt;(DW11+DW11/100*$M$35),0,1),1)</f>
        <v>0</v>
      </c>
      <c r="DZ11" s="29">
        <f>IF($C$43&gt;(DV11-DV11/100*$FF$34),IF($C$43&lt;(DW11+DW11/100*$FF$34),0,1),1)</f>
        <v>0</v>
      </c>
      <c r="EA11" s="56">
        <v>6.5</v>
      </c>
      <c r="EB11" s="33">
        <v>12.5</v>
      </c>
      <c r="EC11" s="52">
        <f>IF($C$43&gt;EA11,IF($C$43&lt;EB11,0,1),1)</f>
        <v>0</v>
      </c>
      <c r="ED11" s="52">
        <f>IF($C$43&gt;(EA11-EA11/100*$M$35),IF($C$43&lt;(EB11+EB11/100*$M$35),0,1),1)</f>
        <v>0</v>
      </c>
      <c r="EE11" s="29">
        <f>IF($C$43&gt;(EA11-EA11/100*$FF$34),IF($C$43&lt;(EB11+EB11/100*$FF$34),0,1),1)</f>
        <v>0</v>
      </c>
      <c r="EF11" s="56">
        <v>-1E-05</v>
      </c>
      <c r="EG11" s="33">
        <v>1</v>
      </c>
      <c r="EH11" s="52">
        <f>IF($C$43&gt;EF11,IF($C$43&lt;EG11,0,1),1)</f>
        <v>1</v>
      </c>
      <c r="EI11" s="52">
        <f>IF($C$43&gt;(EF11-EF11/100*$M$35),IF($C$43&lt;(EG11+EG11/100*$M$35),0,1),1)</f>
        <v>1</v>
      </c>
      <c r="EJ11" s="29">
        <f>IF($C$43&gt;(EF11-EF11/100*$FF$34),IF($C$43&lt;(EG11+EG11/100*$FF$34),0,1),1)</f>
        <v>1</v>
      </c>
      <c r="EK11" s="56">
        <v>-1E-05</v>
      </c>
      <c r="EL11" s="33">
        <v>1</v>
      </c>
      <c r="EM11" s="52">
        <f>IF($C$43&gt;EK11,IF($C$43&lt;EL11,0,1),1)</f>
        <v>1</v>
      </c>
      <c r="EN11" s="52">
        <f>IF($C$43&gt;(EK11-EK11/100*$M$35),IF($C$43&lt;(EL11+EL11/100*$M$35),0,1),1)</f>
        <v>1</v>
      </c>
      <c r="EO11" s="29">
        <f>IF($C$43&gt;(EK11-EK11/100*$FF$34),IF($C$43&lt;(EL11+EL11/100*$FF$34),0,1),1)</f>
        <v>1</v>
      </c>
      <c r="EP11" s="56">
        <v>-1E-05</v>
      </c>
      <c r="EQ11" s="33">
        <v>1</v>
      </c>
      <c r="ER11" s="52">
        <f>IF($C$43&gt;EP11,IF($C$43&lt;EQ11,0,1),1)</f>
        <v>1</v>
      </c>
      <c r="ES11" s="52">
        <f>IF($C$43&gt;(EP11-EP11/100*$M$35),IF($C$43&lt;(EQ11+EQ11/100*$M$35),0,1),1)</f>
        <v>1</v>
      </c>
      <c r="ET11" s="29">
        <f>IF($C$43&gt;(EP11-EP11/100*$FF$34),IF($C$43&lt;(EQ11+EQ11/100*$FF$34),0,1),1)</f>
        <v>1</v>
      </c>
      <c r="EU11" s="56">
        <v>-1E-05</v>
      </c>
      <c r="EV11" s="33">
        <v>1</v>
      </c>
      <c r="EW11" s="52">
        <f>IF($C$43&gt;EU11,IF($C$43&lt;EV11,0,1),1)</f>
        <v>1</v>
      </c>
      <c r="EX11" s="52">
        <f>IF($C$43&gt;(EU11-EU11/100*$M$35),IF($C$43&lt;(EV11+EV11/100*$M$35),0,1),1)</f>
        <v>1</v>
      </c>
      <c r="EY11" s="29">
        <f>IF($C$43&gt;(EU11-EU11/100*$FF$34),IF($C$43&lt;(EV11+EV11/100*$FF$34),0,1),1)</f>
        <v>1</v>
      </c>
      <c r="EZ11" s="56">
        <v>-1E-05</v>
      </c>
      <c r="FA11" s="33">
        <v>1</v>
      </c>
      <c r="FB11" s="52">
        <f>IF($C$43&gt;EZ11,IF($C$43&lt;FA11,0,1),1)</f>
        <v>1</v>
      </c>
      <c r="FC11" s="52">
        <f>IF($C$43&gt;(EZ11-EZ11/100*$M$35),IF($C$43&lt;(FA11+FA11/100*$M$35),0,1),1)</f>
        <v>1</v>
      </c>
      <c r="FD11" s="29">
        <f>IF($C$43&gt;(EZ11-EZ11/100*$FF$34),IF($C$43&lt;(FA11+FA11/100*$FF$34),0,1),1)</f>
        <v>1</v>
      </c>
      <c r="FE11" s="56">
        <v>-1E-05</v>
      </c>
      <c r="FF11" s="33">
        <v>1</v>
      </c>
      <c r="FG11" s="52">
        <f>IF($C$43&gt;FE11,IF($C$43&lt;FF11,0,1),1)</f>
        <v>1</v>
      </c>
      <c r="FH11" s="52">
        <f>IF($C$43&gt;(FE11-FE11/100*$M$35),IF($C$43&lt;(FF11+FF11/100*$M$35),0,1),1)</f>
        <v>1</v>
      </c>
      <c r="FI11" s="29">
        <f>IF($C$43&gt;(FE11-FE11/100*$FF$34),IF($C$43&lt;(FF11+FF11/100*$FF$34),0,1),1)</f>
        <v>1</v>
      </c>
      <c r="FJ11" s="56">
        <v>-1E-05</v>
      </c>
      <c r="FK11" s="33">
        <v>1</v>
      </c>
      <c r="FL11" s="52">
        <f>IF($C$43&gt;FJ11,IF($C$43&lt;FK11,0,1),1)</f>
        <v>1</v>
      </c>
      <c r="FM11" s="52">
        <f>IF($C$43&gt;(FJ11-FJ11/100*$M$35),IF($C$43&lt;(FK11+FK11/100*$M$35),0,1),1)</f>
        <v>1</v>
      </c>
      <c r="FN11" s="29">
        <f>IF($C$43&gt;(FJ11-FJ11/100*$FF$34),IF($C$43&lt;(FK11+FK11/100*$FF$34),0,1),1)</f>
        <v>1</v>
      </c>
      <c r="FO11" s="56">
        <v>-1E-05</v>
      </c>
      <c r="FP11" s="33">
        <v>1</v>
      </c>
      <c r="FQ11" s="52">
        <f>IF($C$43&gt;FO11,IF($C$43&lt;FP11,0,1),1)</f>
        <v>1</v>
      </c>
      <c r="FR11" s="52">
        <f>IF($C$43&gt;(FO11-FO11/100*$M$35),IF($C$43&lt;(FP11+FP11/100*$M$35),0,1),1)</f>
        <v>1</v>
      </c>
      <c r="FS11" s="29">
        <f>IF($C$43&gt;(FO11-FO11/100*$FF$34),IF($C$43&lt;(FP11+FP11/100*$FF$34),0,1),1)</f>
        <v>1</v>
      </c>
      <c r="FT11" s="56">
        <v>-1E-05</v>
      </c>
      <c r="FU11" s="33">
        <v>1</v>
      </c>
      <c r="FV11" s="52">
        <f>IF($C$43&gt;FT11,IF($C$43&lt;FU11,0,1),1)</f>
        <v>1</v>
      </c>
      <c r="FW11" s="52">
        <f>IF($C$43&gt;(FT11-FT11/100*$M$35),IF($C$43&lt;(FU11+FU11/100*$M$35),0,1),1)</f>
        <v>1</v>
      </c>
      <c r="FX11" s="29">
        <f>IF($C$43&gt;(FT11-FT11/100*$FF$34),IF($C$43&lt;(FU11+FU11/100*$FF$34),0,1),1)</f>
        <v>1</v>
      </c>
      <c r="FY11" s="56">
        <v>-1E-05</v>
      </c>
      <c r="FZ11" s="33">
        <v>1</v>
      </c>
      <c r="GA11" s="52">
        <f>IF($C$43&gt;FY11,IF($C$43&lt;FZ11,0,1),1)</f>
        <v>1</v>
      </c>
      <c r="GB11" s="52">
        <f>IF($C$43&gt;(FY11-FY11/100*$M$35),IF($C$43&lt;(FZ11+FZ11/100*$M$35),0,1),1)</f>
        <v>1</v>
      </c>
      <c r="GC11" s="29">
        <f>IF($C$43&gt;(FY11-FY11/100*$FF$34),IF($C$43&lt;(FZ11+FZ11/100*$FF$34),0,1),1)</f>
        <v>1</v>
      </c>
      <c r="GD11" s="56">
        <v>-1E-05</v>
      </c>
      <c r="GE11" s="33">
        <v>1.5</v>
      </c>
      <c r="GF11" s="52">
        <f>IF($C$43&gt;GD11,IF($C$43&lt;GE11,0,1),1)</f>
        <v>1</v>
      </c>
      <c r="GG11" s="52">
        <f>IF($C$43&gt;(GD11-GD11/100*$M$35),IF($C$43&lt;(GE11+GE11/100*$M$35),0,1),1)</f>
        <v>1</v>
      </c>
      <c r="GH11" s="29">
        <f>IF($C$43&gt;(GD11-GD11/100*$FF$34),IF($C$43&lt;(GE11+GE11/100*$FF$34),0,1),1)</f>
        <v>1</v>
      </c>
      <c r="GI11" s="56">
        <v>-1E-05</v>
      </c>
      <c r="GJ11" s="33">
        <v>1.5</v>
      </c>
      <c r="GK11" s="52">
        <f>IF($C$43&gt;GI11,IF($C$43&lt;GJ11,0,1),1)</f>
        <v>1</v>
      </c>
      <c r="GL11" s="52">
        <f>IF($C$43&gt;(GI11-GI11/100*$M$35),IF($C$43&lt;(GJ11+GJ11/100*$M$35),0,1),1)</f>
        <v>1</v>
      </c>
      <c r="GM11" s="29">
        <f>IF($C$43&gt;(GI11-GI11/100*$FF$34),IF($C$43&lt;(GJ11+GJ11/100*$FF$34),0,1),1)</f>
        <v>1</v>
      </c>
      <c r="GN11" s="56">
        <v>-1E-05</v>
      </c>
      <c r="GO11" s="33">
        <v>1.5</v>
      </c>
      <c r="GP11" s="52">
        <f>IF($C$43&gt;GN11,IF($C$43&lt;GO11,0,1),1)</f>
        <v>1</v>
      </c>
      <c r="GQ11" s="52">
        <f>IF($C$43&gt;(GN11-GN11/100*$M$35),IF($C$43&lt;(GO11+GO11/100*$M$35),0,1),1)</f>
        <v>1</v>
      </c>
      <c r="GR11" s="29">
        <f>IF($C$43&gt;(GN11-GN11/100*$FF$34),IF($C$43&lt;(GO11+GO11/100*$FF$34),0,1),1)</f>
        <v>1</v>
      </c>
      <c r="GS11" s="56">
        <v>-1E-05</v>
      </c>
      <c r="GT11" s="33">
        <v>1</v>
      </c>
      <c r="GU11" s="52">
        <f>IF($C$43&gt;GS11,IF($C$43&lt;GT11,0,1),1)</f>
        <v>1</v>
      </c>
      <c r="GV11" s="52">
        <f>IF($C$43&gt;(GS11-GS11/100*$M$35),IF($C$43&lt;(GT11+GT11/100*$M$35),0,1),1)</f>
        <v>1</v>
      </c>
      <c r="GW11" s="29">
        <f>IF($C$43&gt;(GS11-GS11/100*$FF$34),IF($C$43&lt;(GT11+GT11/100*$FF$34),0,1),1)</f>
        <v>1</v>
      </c>
      <c r="GX11" s="56">
        <v>-1E-05</v>
      </c>
      <c r="GY11" s="33">
        <v>1</v>
      </c>
      <c r="GZ11" s="52">
        <f>IF($C$43&gt;GX11,IF($C$43&lt;GY11,0,1),1)</f>
        <v>1</v>
      </c>
      <c r="HA11" s="52">
        <f>IF($C$43&gt;(GX11-GX11/100*$M$35),IF($C$43&lt;(GY11+GY11/100*$M$35),0,1),1)</f>
        <v>1</v>
      </c>
      <c r="HB11" s="29">
        <f>IF($C$43&gt;(GX11-GX11/100*$FF$34),IF($C$43&lt;(GY11+GY11/100*$FF$34),0,1),1)</f>
        <v>1</v>
      </c>
      <c r="HC11" s="56">
        <v>-1E-05</v>
      </c>
      <c r="HD11" s="33">
        <v>4</v>
      </c>
      <c r="HE11" s="52">
        <f>IF($C$43&gt;HC11,IF($C$43&lt;HD11,0,1),1)</f>
        <v>1</v>
      </c>
      <c r="HF11" s="52">
        <f>IF($C$43&gt;(HC11-HC11/100*$M$35),IF($C$43&lt;(HD11+HD11/100*$M$35),0,1),1)</f>
        <v>1</v>
      </c>
      <c r="HG11" s="29">
        <f>IF($C$43&gt;(HC11-HC11/100*$FF$34),IF($C$43&lt;(HD11+HD11/100*$FF$34),0,1),1)</f>
        <v>1</v>
      </c>
      <c r="HH11" s="56">
        <v>0.5</v>
      </c>
      <c r="HI11" s="33">
        <v>2</v>
      </c>
      <c r="HJ11" s="52">
        <f>IF($C$43&gt;HH11,IF($C$43&lt;HI11,0,1),1)</f>
        <v>1</v>
      </c>
      <c r="HK11" s="52">
        <f>IF($C$43&gt;(HH11-HH11/100*$M$35),IF($C$43&lt;(HI11+HI11/100*$M$35),0,1),1)</f>
        <v>1</v>
      </c>
      <c r="HL11" s="29">
        <f>IF($C$43&gt;(HH11-HH11/100*$FF$34),IF($C$43&lt;(HI11+HI11/100*$FF$34),0,1),1)</f>
        <v>1</v>
      </c>
      <c r="HM11" s="56">
        <v>14.5</v>
      </c>
      <c r="HN11" s="33">
        <v>20.5</v>
      </c>
      <c r="HO11" s="52">
        <f>IF($C$43&gt;HM11,IF($C$43&lt;HN11,0,1),1)</f>
        <v>1</v>
      </c>
      <c r="HP11" s="52">
        <f>IF($C$43&gt;(HM11-HM11/100*$M$35),IF($C$43&lt;(HN11+HN11/100*$M$35),0,1),1)</f>
        <v>1</v>
      </c>
      <c r="HQ11" s="29">
        <f>IF($C$43&gt;(HM11-HM11/100*$FF$34),IF($C$43&lt;(HN11+HN11/100*$FF$34),0,1),1)</f>
        <v>1</v>
      </c>
      <c r="HR11" s="56">
        <v>15</v>
      </c>
      <c r="HS11" s="33">
        <v>21</v>
      </c>
      <c r="HT11" s="52">
        <f>IF($C$43&gt;HR11,IF($C$43&lt;HS11,0,1),1)</f>
        <v>1</v>
      </c>
      <c r="HU11" s="52">
        <f>IF($C$43&gt;(HR11-HR11/100*$M$35),IF($C$43&lt;(HS11+HS11/100*$M$35),0,1),1)</f>
        <v>1</v>
      </c>
      <c r="HV11" s="29">
        <f>IF($C$43&gt;(HR11-HR11/100*$FF$34),IF($C$43&lt;(HS11+HS11/100*$FF$34),0,1),1)</f>
        <v>1</v>
      </c>
      <c r="HW11" s="56">
        <v>17</v>
      </c>
      <c r="HX11" s="33">
        <v>23.5</v>
      </c>
      <c r="HY11" s="52">
        <f>IF($C$43&gt;HW11,IF($C$43&lt;HX11,0,1),1)</f>
        <v>1</v>
      </c>
      <c r="HZ11" s="52">
        <f>IF($C$43&gt;(HW11-HW11/100*$M$35),IF($C$43&lt;(HX11+HX11/100*$M$35),0,1),1)</f>
        <v>1</v>
      </c>
      <c r="IA11" s="29">
        <f>IF($C$43&gt;(HW11-HW11/100*$FF$34),IF($C$43&lt;(HX11+HX11/100*$FF$34),0,1),1)</f>
        <v>1</v>
      </c>
      <c r="IB11" s="56">
        <v>15</v>
      </c>
      <c r="IC11" s="33">
        <v>21</v>
      </c>
      <c r="ID11" s="52">
        <f>IF($C$43&gt;IB11,IF($C$43&lt;IC11,0,1),1)</f>
        <v>1</v>
      </c>
      <c r="IE11" s="52">
        <f>IF($C$43&gt;(IB11-IB11/100*$M$35),IF($C$43&lt;(IC11+IC11/100*$M$35),0,1),1)</f>
        <v>1</v>
      </c>
      <c r="IF11" s="29">
        <f>IF($C$43&gt;(IB11-IB11/100*$FF$34),IF($C$43&lt;(IC11+IC11/100*$FF$34),0,1),1)</f>
        <v>1</v>
      </c>
      <c r="IG11" s="56">
        <v>-1E-05</v>
      </c>
      <c r="IH11" s="33">
        <v>3.5</v>
      </c>
      <c r="II11" s="52">
        <f>IF($C$43&gt;IG11,IF($C$43&lt;IH11,0,1),1)</f>
        <v>1</v>
      </c>
      <c r="IJ11" s="52">
        <f>IF($C$43&gt;(IG11-IG11/100*$M$35),IF($C$43&lt;(IH11+IH11/100*$M$35),0,1),1)</f>
        <v>1</v>
      </c>
      <c r="IK11" s="29">
        <f>IF($C$43&gt;(IG11-IG11/100*$FF$34),IF($C$43&lt;(IH11+IH11/100*$FF$34),0,1),1)</f>
        <v>1</v>
      </c>
      <c r="IL11" s="61"/>
    </row>
    <row r="12" spans="1:246" ht="12" customHeight="1">
      <c r="A12" s="60"/>
      <c r="B12" s="3" t="s">
        <v>81</v>
      </c>
      <c r="C12" s="124"/>
      <c r="D12" s="124"/>
      <c r="E12" s="124"/>
      <c r="F12" s="61"/>
      <c r="H12" s="10" t="s">
        <v>82</v>
      </c>
      <c r="I12" s="3" t="str">
        <f>CONCATENATE("(&lt; ",BR41,")")</f>
        <v>(&lt; 1)</v>
      </c>
      <c r="J12" s="23" t="str">
        <f>IF(C42=0,"-",IF(C42&gt;BR41,"nein","ja"))</f>
        <v>-</v>
      </c>
      <c r="K12" s="114"/>
      <c r="L12" s="10" t="s">
        <v>82</v>
      </c>
      <c r="M12" s="3" t="str">
        <f>CONCATENATE("(&lt; ",BT41,")")</f>
        <v>(&lt; 1,5)</v>
      </c>
      <c r="N12" s="23" t="str">
        <f>IF(C42=0,"-",IF(C42&gt;BT41,"nein","ja"))</f>
        <v>-</v>
      </c>
      <c r="O12" s="3"/>
      <c r="P12" s="10" t="s">
        <v>82</v>
      </c>
      <c r="Q12" s="3" t="str">
        <f>CONCATENATE("(&lt; ",BV41,")")</f>
        <v>(&lt; 1,5)</v>
      </c>
      <c r="R12" s="23" t="str">
        <f>IF(C42=0,"-",IF(C42&gt;BV41,"nein","ja"))</f>
        <v>-</v>
      </c>
      <c r="S12" s="3"/>
      <c r="T12" s="10" t="s">
        <v>82</v>
      </c>
      <c r="U12" s="3" t="str">
        <f>CONCATENATE("(&lt; ",BX41,")")</f>
        <v>(&lt; 1,5)</v>
      </c>
      <c r="V12" s="23" t="str">
        <f>IF(C42=0,"-",IF(C42&gt;BX41,"nein","ja"))</f>
        <v>-</v>
      </c>
      <c r="X12" s="60"/>
      <c r="Y12" s="128" t="str">
        <f t="shared" si="0"/>
        <v>Mn</v>
      </c>
      <c r="Z12" s="56">
        <v>-1E-05</v>
      </c>
      <c r="AA12" s="33">
        <v>1</v>
      </c>
      <c r="AB12" s="52">
        <f>IF($C$44&gt;Z12,IF($C$44&lt;AA12,0,1),1)</f>
        <v>0</v>
      </c>
      <c r="AC12" s="52">
        <f>IF($C$44&gt;(Z12-Z12/100*$M$35),IF($C$44&lt;(AA12+AA12/100*$M$35),0,1),1)</f>
        <v>0</v>
      </c>
      <c r="AD12" s="29">
        <f>IF($C$44&gt;(Z12-Z12/100*$FF$34),IF($C$44&lt;(AA12+AA12/100*$FF$34),0,1),1)</f>
        <v>0</v>
      </c>
      <c r="AE12" s="56">
        <v>-1E-05</v>
      </c>
      <c r="AF12" s="33">
        <v>1</v>
      </c>
      <c r="AG12" s="52">
        <f>IF($C$44&gt;AE12,IF($C$44&lt;AF12,0,1),1)</f>
        <v>0</v>
      </c>
      <c r="AH12" s="52">
        <f>IF($C$44&gt;(AE12-AE12/100*$M$35),IF($C$44&lt;(AF12+AF12/100*$M$35),0,1),1)</f>
        <v>0</v>
      </c>
      <c r="AI12" s="29">
        <f>IF($C$44&gt;(AE12-AE12/100*$FF$34),IF($C$44&lt;(AF12+AF12/100*$FF$34),0,1),1)</f>
        <v>0</v>
      </c>
      <c r="AJ12" s="56">
        <v>-1E-05</v>
      </c>
      <c r="AK12" s="33">
        <v>1</v>
      </c>
      <c r="AL12" s="52">
        <f>IF($C$44&gt;AJ12,IF($C$44&lt;AK12,0,1),1)</f>
        <v>0</v>
      </c>
      <c r="AM12" s="52">
        <f>IF($C$44&gt;(AJ12-AJ12/100*$M$35),IF($C$44&lt;(AK12+AK12/100*$M$35),0,1),1)</f>
        <v>0</v>
      </c>
      <c r="AN12" s="29">
        <f>IF($C$44&gt;(AJ12-AJ12/100*$FF$34),IF($C$44&lt;(AK12+AK12/100*$FF$34),0,1),1)</f>
        <v>0</v>
      </c>
      <c r="AO12" s="56">
        <v>-1E-05</v>
      </c>
      <c r="AP12" s="33">
        <v>1</v>
      </c>
      <c r="AQ12" s="52">
        <f>IF($C$44&gt;AO12,IF($C$44&lt;AP12,0,1),1)</f>
        <v>0</v>
      </c>
      <c r="AR12" s="52">
        <f>IF($C$44&gt;(AO12-AO12/100*$M$35),IF($C$44&lt;(AP12+AP12/100*$M$35),0,1),1)</f>
        <v>0</v>
      </c>
      <c r="AS12" s="29">
        <f>IF($C$44&gt;(AO12-AO12/100*$FF$34),IF($C$44&lt;(AP12+AP12/100*$FF$34),0,1),1)</f>
        <v>0</v>
      </c>
      <c r="AT12" s="56">
        <v>-1E-05</v>
      </c>
      <c r="AU12" s="33">
        <v>1</v>
      </c>
      <c r="AV12" s="52">
        <f>IF($C$44&gt;AT12,IF($C$44&lt;AU12,0,1),1)</f>
        <v>0</v>
      </c>
      <c r="AW12" s="52">
        <f>IF($C$44&gt;(AT12-AT12/100*$M$35),IF($C$44&lt;(AU12+AU12/100*$M$35),0,1),1)</f>
        <v>0</v>
      </c>
      <c r="AX12" s="29">
        <f>IF($C$44&gt;(AT12-AT12/100*$FF$34),IF($C$44&lt;(AU12+AU12/100*$FF$34),0,1),1)</f>
        <v>0</v>
      </c>
      <c r="AY12" s="56">
        <v>-1E-05</v>
      </c>
      <c r="AZ12" s="33">
        <v>1</v>
      </c>
      <c r="BA12" s="52">
        <f>IF($C$44&gt;AY12,IF($C$44&lt;AZ12,0,1),1)</f>
        <v>0</v>
      </c>
      <c r="BB12" s="52">
        <f>IF($C$44&gt;(AY12-AY12/100*$M$35),IF($C$44&lt;(AZ12+AZ12/100*$M$35),0,1),1)</f>
        <v>0</v>
      </c>
      <c r="BC12" s="29">
        <f>IF($C$44&gt;(AY12-AY12/100*$FF$34),IF($C$44&lt;(AZ12+AZ12/100*$FF$34),0,1),1)</f>
        <v>0</v>
      </c>
      <c r="BD12" s="56">
        <v>-1E-05</v>
      </c>
      <c r="BE12" s="33">
        <v>1</v>
      </c>
      <c r="BF12" s="52">
        <f>IF($C$44&gt;BD12,IF($C$44&lt;BE12,0,1),1)</f>
        <v>0</v>
      </c>
      <c r="BG12" s="52">
        <f>IF($C$44&gt;(BD12-BD12/100*$M$35),IF($C$44&lt;(BE12+BE12/100*$M$35),0,1),1)</f>
        <v>0</v>
      </c>
      <c r="BH12" s="29">
        <f>IF($C$44&gt;(BD12-BD12/100*$FF$34),IF($C$44&lt;(BE12+BE12/100*$FF$34),0,1),1)</f>
        <v>0</v>
      </c>
      <c r="BI12" s="56">
        <v>-1E-05</v>
      </c>
      <c r="BJ12" s="33">
        <v>1</v>
      </c>
      <c r="BK12" s="52">
        <f>IF($C$44&gt;BI12,IF($C$44&lt;BJ12,0,1),1)</f>
        <v>0</v>
      </c>
      <c r="BL12" s="52">
        <f>IF($C$44&gt;(BI12-BI12/100*$M$35),IF($C$44&lt;(BJ12+BJ12/100*$M$35),0,1),1)</f>
        <v>0</v>
      </c>
      <c r="BM12" s="29">
        <f>IF($C$44&gt;(BI12-BI12/100*$FF$34),IF($C$44&lt;(BJ12+BJ12/100*$FF$34),0,1),1)</f>
        <v>0</v>
      </c>
      <c r="BN12" s="56">
        <v>-1E-05</v>
      </c>
      <c r="BO12" s="33">
        <v>1</v>
      </c>
      <c r="BP12" s="52">
        <f>IF($C$44&gt;BN12,IF($C$44&lt;BO12,0,1),1)</f>
        <v>0</v>
      </c>
      <c r="BQ12" s="52">
        <f>IF($C$44&gt;(BN12-BN12/100*$M$35),IF($C$44&lt;(BO12+BO12/100*$M$35),0,1),1)</f>
        <v>0</v>
      </c>
      <c r="BR12" s="29">
        <f>IF($C$44&gt;(BN12-BN12/100*$FF$34),IF($C$44&lt;(BO12+BO12/100*$FF$34),0,1),1)</f>
        <v>0</v>
      </c>
      <c r="BS12" s="56">
        <v>-1E-05</v>
      </c>
      <c r="BT12" s="33">
        <v>1</v>
      </c>
      <c r="BU12" s="52">
        <f>IF($C$44&gt;BS12,IF($C$44&lt;BT12,0,1),1)</f>
        <v>0</v>
      </c>
      <c r="BV12" s="52">
        <f>IF($C$44&gt;(BS12-BS12/100*$M$35),IF($C$44&lt;(BT12+BT12/100*$M$35),0,1),1)</f>
        <v>0</v>
      </c>
      <c r="BW12" s="29">
        <f>IF($C$44&gt;(BS12-BS12/100*$FF$34),IF($C$44&lt;(BT12+BT12/100*$FF$34),0,1),1)</f>
        <v>0</v>
      </c>
      <c r="BX12" s="56">
        <v>-1E-05</v>
      </c>
      <c r="BY12" s="33">
        <v>1</v>
      </c>
      <c r="BZ12" s="52">
        <f>IF($C$44&gt;BX12,IF($C$44&lt;BY12,0,1),1)</f>
        <v>0</v>
      </c>
      <c r="CA12" s="52">
        <f>IF($C$44&gt;(BX12-BX12/100*$M$35),IF($C$44&lt;(BY12+BY12/100*$M$35),0,1),1)</f>
        <v>0</v>
      </c>
      <c r="CB12" s="29">
        <f>IF($C$44&gt;(BX12-BX12/100*$FF$34),IF($C$44&lt;(BY12+BY12/100*$FF$34),0,1),1)</f>
        <v>0</v>
      </c>
      <c r="CC12" s="56">
        <v>-1E-05</v>
      </c>
      <c r="CD12" s="33">
        <v>1</v>
      </c>
      <c r="CE12" s="52">
        <f>IF($C$44&gt;CC12,IF($C$44&lt;CD12,0,1),1)</f>
        <v>0</v>
      </c>
      <c r="CF12" s="52">
        <f>IF($C$44&gt;(CC12-CC12/100*$M$35),IF($C$44&lt;(CD12+CD12/100*$M$35),0,1),1)</f>
        <v>0</v>
      </c>
      <c r="CG12" s="29">
        <f>IF($C$44&gt;(CC12-CC12/100*$FF$34),IF($C$44&lt;(CD12+CD12/100*$FF$34),0,1),1)</f>
        <v>0</v>
      </c>
      <c r="CH12" s="56">
        <v>-1E-05</v>
      </c>
      <c r="CI12" s="33">
        <v>1</v>
      </c>
      <c r="CJ12" s="52">
        <f>IF($C$44&gt;CH12,IF($C$44&lt;CI12,0,1),1)</f>
        <v>0</v>
      </c>
      <c r="CK12" s="52">
        <f>IF($C$44&gt;(CH12-CH12/100*$M$35),IF($C$44&lt;(CI12+CI12/100*$M$35),0,1),1)</f>
        <v>0</v>
      </c>
      <c r="CL12" s="29">
        <f>IF($C$44&gt;(CH12-CH12/100*$FF$34),IF($C$44&lt;(CI12+CI12/100*$FF$34),0,1),1)</f>
        <v>0</v>
      </c>
      <c r="CM12" s="56">
        <v>-1E-05</v>
      </c>
      <c r="CN12" s="33">
        <v>1</v>
      </c>
      <c r="CO12" s="52">
        <f>IF($C$44&gt;CM12,IF($C$44&lt;CN12,0,1),1)</f>
        <v>0</v>
      </c>
      <c r="CP12" s="52">
        <f>IF($C$44&gt;(CM12-CM12/100*$M$35),IF($C$44&lt;(CN12+CN12/100*$M$35),0,1),1)</f>
        <v>0</v>
      </c>
      <c r="CQ12" s="29">
        <f>IF($C$44&gt;(CM12-CM12/100*$FF$34),IF($C$44&lt;(CN12+CN12/100*$FF$34),0,1),1)</f>
        <v>0</v>
      </c>
      <c r="CR12" s="56">
        <v>-1E-05</v>
      </c>
      <c r="CS12" s="33">
        <v>1</v>
      </c>
      <c r="CT12" s="52">
        <f>IF($C$44&gt;CR12,IF($C$44&lt;CS12,0,1),1)</f>
        <v>0</v>
      </c>
      <c r="CU12" s="52">
        <f>IF($C$44&gt;(CR12-CR12/100*$M$35),IF($C$44&lt;(CS12+CS12/100*$M$35),0,1),1)</f>
        <v>0</v>
      </c>
      <c r="CV12" s="29">
        <f>IF($C$44&gt;(CR12-CR12/100*$FF$34),IF($C$44&lt;(CS12+CS12/100*$FF$34),0,1),1)</f>
        <v>0</v>
      </c>
      <c r="CW12" s="56">
        <v>-1E-05</v>
      </c>
      <c r="CX12" s="33">
        <v>1</v>
      </c>
      <c r="CY12" s="52">
        <f>IF($C$44&gt;CW12,IF($C$44&lt;CX12,0,1),1)</f>
        <v>0</v>
      </c>
      <c r="CZ12" s="52">
        <f>IF($C$44&gt;(CW12-CW12/100*$M$35),IF($C$44&lt;(CX12+CX12/100*$M$35),0,1),1)</f>
        <v>0</v>
      </c>
      <c r="DA12" s="29">
        <f>IF($C$44&gt;(CW12-CW12/100*$FF$34),IF($C$44&lt;(CX12+CX12/100*$FF$34),0,1),1)</f>
        <v>0</v>
      </c>
      <c r="DB12" s="56">
        <v>-1E-05</v>
      </c>
      <c r="DC12" s="33">
        <v>1</v>
      </c>
      <c r="DD12" s="52">
        <f>IF($C$44&gt;DB12,IF($C$44&lt;DC12,0,1),1)</f>
        <v>0</v>
      </c>
      <c r="DE12" s="52">
        <f>IF($C$44&gt;(DB12-DB12/100*$M$35),IF($C$44&lt;(DC12+DC12/100*$M$35),0,1),1)</f>
        <v>0</v>
      </c>
      <c r="DF12" s="29">
        <f>IF($C$44&gt;(DB12-DB12/100*$FF$34),IF($C$44&lt;(DC12+DC12/100*$FF$34),0,1),1)</f>
        <v>0</v>
      </c>
      <c r="DG12" s="56">
        <v>-1E-05</v>
      </c>
      <c r="DH12" s="33">
        <v>1</v>
      </c>
      <c r="DI12" s="52">
        <f>IF($C$44&gt;DG12,IF($C$44&lt;DH12,0,1),1)</f>
        <v>0</v>
      </c>
      <c r="DJ12" s="52">
        <f>IF($C$44&gt;(DG12-DG12/100*$M$35),IF($C$44&lt;(DH12+DH12/100*$M$35),0,1),1)</f>
        <v>0</v>
      </c>
      <c r="DK12" s="29">
        <f>IF($C$44&gt;(DG12-DG12/100*$FF$34),IF($C$44&lt;(DH12+DH12/100*$FF$34),0,1),1)</f>
        <v>0</v>
      </c>
      <c r="DL12" s="56">
        <v>-1E-05</v>
      </c>
      <c r="DM12" s="33">
        <v>1</v>
      </c>
      <c r="DN12" s="52">
        <f>IF($C$44&gt;DL12,IF($C$44&lt;DM12,0,1),1)</f>
        <v>0</v>
      </c>
      <c r="DO12" s="52">
        <f>IF($C$44&gt;(DL12-DL12/100*$M$35),IF($C$44&lt;(DM12+DM12/100*$M$35),0,1),1)</f>
        <v>0</v>
      </c>
      <c r="DP12" s="29">
        <f>IF($C$44&gt;(DL12-DL12/100*$FF$34),IF($C$44&lt;(DM12+DM12/100*$FF$34),0,1),1)</f>
        <v>0</v>
      </c>
      <c r="DQ12" s="56">
        <v>-1E-05</v>
      </c>
      <c r="DR12" s="33">
        <v>1</v>
      </c>
      <c r="DS12" s="52">
        <f>IF($C$44&gt;DQ12,IF($C$44&lt;DR12,0,1),1)</f>
        <v>0</v>
      </c>
      <c r="DT12" s="52">
        <f>IF($C$44&gt;(DQ12-DQ12/100*$M$35),IF($C$44&lt;(DR12+DR12/100*$M$35),0,1),1)</f>
        <v>0</v>
      </c>
      <c r="DU12" s="29">
        <f>IF($C$44&gt;(DQ12-DQ12/100*$FF$34),IF($C$44&lt;(DR12+DR12/100*$FF$34),0,1),1)</f>
        <v>0</v>
      </c>
      <c r="DV12" s="56">
        <v>-1E-05</v>
      </c>
      <c r="DW12" s="33">
        <v>1</v>
      </c>
      <c r="DX12" s="52">
        <f>IF($C$44&gt;DV12,IF($C$44&lt;DW12,0,1),1)</f>
        <v>0</v>
      </c>
      <c r="DY12" s="52">
        <f>IF($C$44&gt;(DV12-DV12/100*$M$35),IF($C$44&lt;(DW12+DW12/100*$M$35),0,1),1)</f>
        <v>0</v>
      </c>
      <c r="DZ12" s="29">
        <f>IF($C$44&gt;(DV12-DV12/100*$FF$34),IF($C$44&lt;(DW12+DW12/100*$FF$34),0,1),1)</f>
        <v>0</v>
      </c>
      <c r="EA12" s="56">
        <v>-1E-05</v>
      </c>
      <c r="EB12" s="33">
        <v>1</v>
      </c>
      <c r="EC12" s="52">
        <f>IF($C$44&gt;EA12,IF($C$44&lt;EB12,0,1),1)</f>
        <v>0</v>
      </c>
      <c r="ED12" s="52">
        <f>IF($C$44&gt;(EA12-EA12/100*$M$35),IF($C$44&lt;(EB12+EB12/100*$M$35),0,1),1)</f>
        <v>0</v>
      </c>
      <c r="EE12" s="29">
        <f>IF($C$44&gt;(EA12-EA12/100*$FF$34),IF($C$44&lt;(EB12+EB12/100*$FF$34),0,1),1)</f>
        <v>0</v>
      </c>
      <c r="EF12" s="56">
        <v>-1E-05</v>
      </c>
      <c r="EG12" s="33">
        <v>1.5</v>
      </c>
      <c r="EH12" s="52">
        <f>IF($C$44&gt;EF12,IF($C$44&lt;EG12,0,1),1)</f>
        <v>0</v>
      </c>
      <c r="EI12" s="52">
        <f>IF($C$44&gt;(EF12-EF12/100*$M$35),IF($C$44&lt;(EG12+EG12/100*$M$35),0,1),1)</f>
        <v>0</v>
      </c>
      <c r="EJ12" s="29">
        <f>IF($C$44&gt;(EF12-EF12/100*$FF$34),IF($C$44&lt;(EG12+EG12/100*$FF$34),0,1),1)</f>
        <v>0</v>
      </c>
      <c r="EK12" s="56">
        <v>-1E-05</v>
      </c>
      <c r="EL12" s="33">
        <v>1.5</v>
      </c>
      <c r="EM12" s="52">
        <f>IF($C$44&gt;EK12,IF($C$44&lt;EL12,0,1),1)</f>
        <v>0</v>
      </c>
      <c r="EN12" s="52">
        <f>IF($C$44&gt;(EK12-EK12/100*$M$35),IF($C$44&lt;(EL12+EL12/100*$M$35),0,1),1)</f>
        <v>0</v>
      </c>
      <c r="EO12" s="29">
        <f>IF($C$44&gt;(EK12-EK12/100*$FF$34),IF($C$44&lt;(EL12+EL12/100*$FF$34),0,1),1)</f>
        <v>0</v>
      </c>
      <c r="EP12" s="56">
        <v>-1E-05</v>
      </c>
      <c r="EQ12" s="33">
        <v>1.5</v>
      </c>
      <c r="ER12" s="52">
        <f>IF($C$44&gt;EP12,IF($C$44&lt;EQ12,0,1),1)</f>
        <v>0</v>
      </c>
      <c r="ES12" s="52">
        <f>IF($C$44&gt;(EP12-EP12/100*$M$35),IF($C$44&lt;(EQ12+EQ12/100*$M$35),0,1),1)</f>
        <v>0</v>
      </c>
      <c r="ET12" s="29">
        <f>IF($C$44&gt;(EP12-EP12/100*$FF$34),IF($C$44&lt;(EQ12+EQ12/100*$FF$34),0,1),1)</f>
        <v>0</v>
      </c>
      <c r="EU12" s="56">
        <v>-1E-05</v>
      </c>
      <c r="EV12" s="33">
        <v>1.5</v>
      </c>
      <c r="EW12" s="52">
        <f>IF($C$44&gt;EU12,IF($C$44&lt;EV12,0,1),1)</f>
        <v>0</v>
      </c>
      <c r="EX12" s="52">
        <f>IF($C$44&gt;(EU12-EU12/100*$M$35),IF($C$44&lt;(EV12+EV12/100*$M$35),0,1),1)</f>
        <v>0</v>
      </c>
      <c r="EY12" s="29">
        <f>IF($C$44&gt;(EU12-EU12/100*$FF$34),IF($C$44&lt;(EV12+EV12/100*$FF$34),0,1),1)</f>
        <v>0</v>
      </c>
      <c r="EZ12" s="56">
        <v>-1E-05</v>
      </c>
      <c r="FA12" s="33">
        <v>1.5</v>
      </c>
      <c r="FB12" s="52">
        <f>IF($C$44&gt;EZ12,IF($C$44&lt;FA12,0,1),1)</f>
        <v>0</v>
      </c>
      <c r="FC12" s="52">
        <f>IF($C$44&gt;(EZ12-EZ12/100*$M$35),IF($C$44&lt;(FA12+FA12/100*$M$35),0,1),1)</f>
        <v>0</v>
      </c>
      <c r="FD12" s="29">
        <f>IF($C$44&gt;(EZ12-EZ12/100*$FF$34),IF($C$44&lt;(FA12+FA12/100*$FF$34),0,1),1)</f>
        <v>0</v>
      </c>
      <c r="FE12" s="56">
        <v>-1E-05</v>
      </c>
      <c r="FF12" s="33">
        <v>1.5</v>
      </c>
      <c r="FG12" s="52">
        <f>IF($C$44&gt;FE12,IF($C$44&lt;FF12,0,1),1)</f>
        <v>0</v>
      </c>
      <c r="FH12" s="52">
        <f>IF($C$44&gt;(FE12-FE12/100*$M$35),IF($C$44&lt;(FF12+FF12/100*$M$35),0,1),1)</f>
        <v>0</v>
      </c>
      <c r="FI12" s="29">
        <f>IF($C$44&gt;(FE12-FE12/100*$FF$34),IF($C$44&lt;(FF12+FF12/100*$FF$34),0,1),1)</f>
        <v>0</v>
      </c>
      <c r="FJ12" s="56">
        <v>-1E-05</v>
      </c>
      <c r="FK12" s="33">
        <v>1.5</v>
      </c>
      <c r="FL12" s="52">
        <f>IF($C$44&gt;FJ12,IF($C$44&lt;FK12,0,1),1)</f>
        <v>0</v>
      </c>
      <c r="FM12" s="52">
        <f>IF($C$44&gt;(FJ12-FJ12/100*$M$35),IF($C$44&lt;(FK12+FK12/100*$M$35),0,1),1)</f>
        <v>0</v>
      </c>
      <c r="FN12" s="29">
        <f>IF($C$44&gt;(FJ12-FJ12/100*$FF$34),IF($C$44&lt;(FK12+FK12/100*$FF$34),0,1),1)</f>
        <v>0</v>
      </c>
      <c r="FO12" s="56">
        <v>-1E-05</v>
      </c>
      <c r="FP12" s="33">
        <v>1.5</v>
      </c>
      <c r="FQ12" s="52">
        <f>IF($C$44&gt;FO12,IF($C$44&lt;FP12,0,1),1)</f>
        <v>0</v>
      </c>
      <c r="FR12" s="52">
        <f>IF($C$44&gt;(FO12-FO12/100*$M$35),IF($C$44&lt;(FP12+FP12/100*$M$35),0,1),1)</f>
        <v>0</v>
      </c>
      <c r="FS12" s="29">
        <f>IF($C$44&gt;(FO12-FO12/100*$FF$34),IF($C$44&lt;(FP12+FP12/100*$FF$34),0,1),1)</f>
        <v>0</v>
      </c>
      <c r="FT12" s="56">
        <v>-1E-05</v>
      </c>
      <c r="FU12" s="33">
        <v>1</v>
      </c>
      <c r="FV12" s="52">
        <f>IF($C$44&gt;FT12,IF($C$44&lt;FU12,0,1),1)</f>
        <v>0</v>
      </c>
      <c r="FW12" s="52">
        <f>IF($C$44&gt;(FT12-FT12/100*$M$35),IF($C$44&lt;(FU12+FU12/100*$M$35),0,1),1)</f>
        <v>0</v>
      </c>
      <c r="FX12" s="29">
        <f>IF($C$44&gt;(FT12-FT12/100*$FF$34),IF($C$44&lt;(FU12+FU12/100*$FF$34),0,1),1)</f>
        <v>0</v>
      </c>
      <c r="FY12" s="56">
        <v>-1E-05</v>
      </c>
      <c r="FZ12" s="33">
        <v>1</v>
      </c>
      <c r="GA12" s="52">
        <f>IF($C$44&gt;FY12,IF($C$44&lt;FZ12,0,1),1)</f>
        <v>0</v>
      </c>
      <c r="GB12" s="52">
        <f>IF($C$44&gt;(FY12-FY12/100*$M$35),IF($C$44&lt;(FZ12+FZ12/100*$M$35),0,1),1)</f>
        <v>0</v>
      </c>
      <c r="GC12" s="29">
        <f>IF($C$44&gt;(FY12-FY12/100*$FF$34),IF($C$44&lt;(FZ12+FZ12/100*$FF$34),0,1),1)</f>
        <v>0</v>
      </c>
      <c r="GD12" s="56">
        <v>-1E-05</v>
      </c>
      <c r="GE12" s="33">
        <v>5</v>
      </c>
      <c r="GF12" s="52">
        <f>IF($C$44&gt;GD12,IF($C$44&lt;GE12,0,1),1)</f>
        <v>0</v>
      </c>
      <c r="GG12" s="52">
        <f>IF($C$44&gt;(GD12-GD12/100*$M$35),IF($C$44&lt;(GE12+GE12/100*$M$35),0,1),1)</f>
        <v>0</v>
      </c>
      <c r="GH12" s="29">
        <f>IF($C$44&gt;(GD12-GD12/100*$FF$34),IF($C$44&lt;(GE12+GE12/100*$FF$34),0,1),1)</f>
        <v>0</v>
      </c>
      <c r="GI12" s="56">
        <v>-1E-05</v>
      </c>
      <c r="GJ12" s="33">
        <v>3</v>
      </c>
      <c r="GK12" s="52">
        <f>IF($C$44&gt;GI12,IF($C$44&lt;GJ12,0,1),1)</f>
        <v>0</v>
      </c>
      <c r="GL12" s="52">
        <f>IF($C$44&gt;(GI12-GI12/100*$M$35),IF($C$44&lt;(GJ12+GJ12/100*$M$35),0,1),1)</f>
        <v>0</v>
      </c>
      <c r="GM12" s="29">
        <f>IF($C$44&gt;(GI12-GI12/100*$FF$34),IF($C$44&lt;(GJ12+GJ12/100*$FF$34),0,1),1)</f>
        <v>0</v>
      </c>
      <c r="GN12" s="56">
        <v>-1E-05</v>
      </c>
      <c r="GO12" s="33">
        <v>3</v>
      </c>
      <c r="GP12" s="52">
        <f>IF($C$44&gt;GN12,IF($C$44&lt;GO12,0,1),1)</f>
        <v>0</v>
      </c>
      <c r="GQ12" s="52">
        <f>IF($C$44&gt;(GN12-GN12/100*$M$35),IF($C$44&lt;(GO12+GO12/100*$M$35),0,1),1)</f>
        <v>0</v>
      </c>
      <c r="GR12" s="29">
        <f>IF($C$44&gt;(GN12-GN12/100*$FF$34),IF($C$44&lt;(GO12+GO12/100*$FF$34),0,1),1)</f>
        <v>0</v>
      </c>
      <c r="GS12" s="56">
        <v>-1E-05</v>
      </c>
      <c r="GT12" s="33">
        <v>1</v>
      </c>
      <c r="GU12" s="52">
        <f>IF($C$44&gt;GS12,IF($C$44&lt;GT12,0,1),1)</f>
        <v>0</v>
      </c>
      <c r="GV12" s="52">
        <f>IF($C$44&gt;(GS12-GS12/100*$M$35),IF($C$44&lt;(GT12+GT12/100*$M$35),0,1),1)</f>
        <v>0</v>
      </c>
      <c r="GW12" s="29">
        <f>IF($C$44&gt;(GS12-GS12/100*$FF$34),IF($C$44&lt;(GT12+GT12/100*$FF$34),0,1),1)</f>
        <v>0</v>
      </c>
      <c r="GX12" s="56">
        <v>-1E-05</v>
      </c>
      <c r="GY12" s="33">
        <v>1</v>
      </c>
      <c r="GZ12" s="52">
        <f>IF($C$44&gt;GX12,IF($C$44&lt;GY12,0,1),1)</f>
        <v>0</v>
      </c>
      <c r="HA12" s="52">
        <f>IF($C$44&gt;(GX12-GX12/100*$M$35),IF($C$44&lt;(GY12+GY12/100*$M$35),0,1),1)</f>
        <v>0</v>
      </c>
      <c r="HB12" s="29">
        <f>IF($C$44&gt;(GX12-GX12/100*$FF$34),IF($C$44&lt;(GY12+GY12/100*$FF$34),0,1),1)</f>
        <v>0</v>
      </c>
      <c r="HC12" s="56">
        <v>-1E-05</v>
      </c>
      <c r="HD12" s="33">
        <v>1</v>
      </c>
      <c r="HE12" s="52">
        <f>IF($C$44&gt;HC12,IF($C$44&lt;HD12,0,1),1)</f>
        <v>0</v>
      </c>
      <c r="HF12" s="52">
        <f>IF($C$44&gt;(HC12-HC12/100*$M$35),IF($C$44&lt;(HD12+HD12/100*$M$35),0,1),1)</f>
        <v>0</v>
      </c>
      <c r="HG12" s="29">
        <f>IF($C$44&gt;(HC12-HC12/100*$FF$34),IF($C$44&lt;(HD12+HD12/100*$FF$34),0,1),1)</f>
        <v>0</v>
      </c>
      <c r="HH12" s="56">
        <v>-1E-05</v>
      </c>
      <c r="HI12" s="33">
        <v>1</v>
      </c>
      <c r="HJ12" s="52">
        <f>IF($C$44&gt;HH12,IF($C$44&lt;HI12,0,1),1)</f>
        <v>0</v>
      </c>
      <c r="HK12" s="52">
        <f>IF($C$44&gt;(HH12-HH12/100*$M$35),IF($C$44&lt;(HI12+HI12/100*$M$35),0,1),1)</f>
        <v>0</v>
      </c>
      <c r="HL12" s="29">
        <f>IF($C$44&gt;(HH12-HH12/100*$FF$34),IF($C$44&lt;(HI12+HI12/100*$FF$34),0,1),1)</f>
        <v>0</v>
      </c>
      <c r="HM12" s="56">
        <v>-1E-05</v>
      </c>
      <c r="HN12" s="33">
        <v>3</v>
      </c>
      <c r="HO12" s="52">
        <f>IF($C$44&gt;HM12,IF($C$44&lt;HN12,0,1),1)</f>
        <v>0</v>
      </c>
      <c r="HP12" s="52">
        <f>IF($C$44&gt;(HM12-HM12/100*$M$35),IF($C$44&lt;(HN12+HN12/100*$M$35),0,1),1)</f>
        <v>0</v>
      </c>
      <c r="HQ12" s="29">
        <f>IF($C$44&gt;(HM12-HM12/100*$FF$34),IF($C$44&lt;(HN12+HN12/100*$FF$34),0,1),1)</f>
        <v>0</v>
      </c>
      <c r="HR12" s="56">
        <v>-1E-05</v>
      </c>
      <c r="HS12" s="33">
        <v>3</v>
      </c>
      <c r="HT12" s="52">
        <f>IF($C$44&gt;HR12,IF($C$44&lt;HS12,0,1),1)</f>
        <v>0</v>
      </c>
      <c r="HU12" s="52">
        <f>IF($C$44&gt;(HR12-HR12/100*$M$35),IF($C$44&lt;(HS12+HS12/100*$M$35),0,1),1)</f>
        <v>0</v>
      </c>
      <c r="HV12" s="29">
        <f>IF($C$44&gt;(HR12-HR12/100*$FF$34),IF($C$44&lt;(HS12+HS12/100*$FF$34),0,1),1)</f>
        <v>0</v>
      </c>
      <c r="HW12" s="56">
        <v>-1E-05</v>
      </c>
      <c r="HX12" s="33">
        <v>1</v>
      </c>
      <c r="HY12" s="52">
        <f>IF($C$44&gt;HW12,IF($C$44&lt;HX12,0,1),1)</f>
        <v>0</v>
      </c>
      <c r="HZ12" s="52">
        <f>IF($C$44&gt;(HW12-HW12/100*$M$35),IF($C$44&lt;(HX12+HX12/100*$M$35),0,1),1)</f>
        <v>0</v>
      </c>
      <c r="IA12" s="29">
        <f>IF($C$44&gt;(HW12-HW12/100*$FF$34),IF($C$44&lt;(HX12+HX12/100*$FF$34),0,1),1)</f>
        <v>0</v>
      </c>
      <c r="IB12" s="56">
        <v>-1E-05</v>
      </c>
      <c r="IC12" s="33">
        <v>1</v>
      </c>
      <c r="ID12" s="52">
        <f>IF($C$44&gt;IB12,IF($C$44&lt;IC12,0,1),1)</f>
        <v>0</v>
      </c>
      <c r="IE12" s="52">
        <f>IF($C$44&gt;(IB12-IB12/100*$M$35),IF($C$44&lt;(IC12+IC12/100*$M$35),0,1),1)</f>
        <v>0</v>
      </c>
      <c r="IF12" s="29">
        <f>IF($C$44&gt;(IB12-IB12/100*$FF$34),IF($C$44&lt;(IC12+IC12/100*$FF$34),0,1),1)</f>
        <v>0</v>
      </c>
      <c r="IG12" s="56">
        <v>-1E-05</v>
      </c>
      <c r="IH12" s="33">
        <v>1</v>
      </c>
      <c r="II12" s="52">
        <f>IF($C$44&gt;IG12,IF($C$44&lt;IH12,0,1),1)</f>
        <v>0</v>
      </c>
      <c r="IJ12" s="52">
        <f>IF($C$44&gt;(IG12-IG12/100*$M$35),IF($C$44&lt;(IH12+IH12/100*$M$35),0,1),1)</f>
        <v>0</v>
      </c>
      <c r="IK12" s="29">
        <f>IF($C$44&gt;(IG12-IG12/100*$FF$34),IF($C$44&lt;(IH12+IH12/100*$FF$34),0,1),1)</f>
        <v>0</v>
      </c>
      <c r="IL12" s="61"/>
    </row>
    <row r="13" spans="1:246" ht="12" customHeight="1">
      <c r="A13" s="60"/>
      <c r="B13" s="3" t="s">
        <v>83</v>
      </c>
      <c r="C13" s="124"/>
      <c r="D13" s="124"/>
      <c r="E13" s="124"/>
      <c r="F13" s="61"/>
      <c r="H13" s="10" t="s">
        <v>84</v>
      </c>
      <c r="I13" s="3" t="str">
        <f>CONCATENATE("(&lt; ",BR43,")")</f>
        <v>(&lt; 1)</v>
      </c>
      <c r="J13" s="23" t="str">
        <f>IF(C44=0,"-",IF(C44&gt;BR43,"nein","ja"))</f>
        <v>-</v>
      </c>
      <c r="K13" s="114"/>
      <c r="L13" s="10" t="s">
        <v>84</v>
      </c>
      <c r="M13" s="3" t="str">
        <f>CONCATENATE("(&lt; ",BT43,")")</f>
        <v>(&lt; 1,5)</v>
      </c>
      <c r="N13" s="23" t="str">
        <f>IF(C44=0,"-",IF(C44&gt;BT43,"nein","ja"))</f>
        <v>-</v>
      </c>
      <c r="O13" s="3"/>
      <c r="P13" s="10" t="s">
        <v>84</v>
      </c>
      <c r="Q13" s="3" t="str">
        <f>CONCATENATE("(&lt; ",BV43,")")</f>
        <v>(&lt; 1)</v>
      </c>
      <c r="R13" s="23" t="str">
        <f>IF(C44=0,"-",IF(C44&gt;BV43,"nein","ja"))</f>
        <v>-</v>
      </c>
      <c r="S13" s="3"/>
      <c r="T13" s="10" t="s">
        <v>84</v>
      </c>
      <c r="U13" s="3" t="str">
        <f>CONCATENATE("(&lt; ",BX43,")")</f>
        <v>(&lt; 1)</v>
      </c>
      <c r="V13" s="23" t="str">
        <f>IF(C44=0,"-",IF(C44&gt;BX43,"nein","ja"))</f>
        <v>-</v>
      </c>
      <c r="X13" s="60"/>
      <c r="Y13" s="128" t="str">
        <f t="shared" si="0"/>
        <v>Fe</v>
      </c>
      <c r="Z13" s="56">
        <v>4.5</v>
      </c>
      <c r="AA13" s="33">
        <v>15</v>
      </c>
      <c r="AB13" s="52">
        <f>IF($C$45&gt;Z13,IF($C$45&lt;AA13,0,1),1)</f>
        <v>1</v>
      </c>
      <c r="AC13" s="52">
        <f>IF($C$45&gt;(Z13-Z13/100*$M$35),IF($C$45&lt;(AA13+AA13/100*$M$35),0,1),1)</f>
        <v>1</v>
      </c>
      <c r="AD13" s="29">
        <f>IF($C$45&gt;(Z13-Z13/100*$FF$34),IF($C$45&lt;(AA13+AA13/100*$FF$34),0,1),1)</f>
        <v>1</v>
      </c>
      <c r="AE13" s="56">
        <v>15</v>
      </c>
      <c r="AF13" s="33">
        <v>24</v>
      </c>
      <c r="AG13" s="52">
        <f>IF($C$45&gt;AE13,IF($C$45&lt;AF13,0,1),1)</f>
        <v>1</v>
      </c>
      <c r="AH13" s="52">
        <f>IF($C$45&gt;(AE13-AE13/100*$M$35),IF($C$45&lt;(AF13+AF13/100*$M$35),0,1),1)</f>
        <v>1</v>
      </c>
      <c r="AI13" s="29">
        <f>IF($C$45&gt;(AE13-AE13/100*$FF$34),IF($C$45&lt;(AF13+AF13/100*$FF$34),0,1),1)</f>
        <v>1</v>
      </c>
      <c r="AJ13" s="56">
        <v>-1E-05</v>
      </c>
      <c r="AK13" s="33">
        <v>5</v>
      </c>
      <c r="AL13" s="52">
        <f>IF($C$45&gt;AJ13,IF($C$45&lt;AK13,0,1),1)</f>
        <v>0</v>
      </c>
      <c r="AM13" s="52">
        <f>IF($C$45&gt;(AJ13-AJ13/100*$M$35),IF($C$45&lt;(AK13+AK13/100*$M$35),0,1),1)</f>
        <v>0</v>
      </c>
      <c r="AN13" s="29">
        <f>IF($C$45&gt;(AJ13-AJ13/100*$FF$34),IF($C$45&lt;(AK13+AK13/100*$FF$34),0,1),1)</f>
        <v>0</v>
      </c>
      <c r="AO13" s="56">
        <v>2.5</v>
      </c>
      <c r="AP13" s="33">
        <v>6.5</v>
      </c>
      <c r="AQ13" s="52">
        <f>IF($C$45&gt;AO13,IF($C$45&lt;AP13,0,1),1)</f>
        <v>1</v>
      </c>
      <c r="AR13" s="52">
        <f>IF($C$45&gt;(AO13-AO13/100*$M$35),IF($C$45&lt;(AP13+AP13/100*$M$35),0,1),1)</f>
        <v>1</v>
      </c>
      <c r="AS13" s="29">
        <f>IF($C$45&gt;(AO13-AO13/100*$FF$34),IF($C$45&lt;(AP13+AP13/100*$FF$34),0,1),1)</f>
        <v>1</v>
      </c>
      <c r="AT13" s="56">
        <v>2.5</v>
      </c>
      <c r="AU13" s="33">
        <v>6.5</v>
      </c>
      <c r="AV13" s="52">
        <f>IF($C$45&gt;AT13,IF($C$45&lt;AU13,0,1),1)</f>
        <v>1</v>
      </c>
      <c r="AW13" s="52">
        <f>IF($C$45&gt;(AT13-AT13/100*$M$35),IF($C$45&lt;(AU13+AU13/100*$M$35),0,1),1)</f>
        <v>1</v>
      </c>
      <c r="AX13" s="29">
        <f>IF($C$45&gt;(AT13-AT13/100*$FF$34),IF($C$45&lt;(AU13+AU13/100*$FF$34),0,1),1)</f>
        <v>1</v>
      </c>
      <c r="AY13" s="56">
        <v>14</v>
      </c>
      <c r="AZ13" s="33">
        <v>20</v>
      </c>
      <c r="BA13" s="52">
        <f>IF($C$45&gt;AY13,IF($C$45&lt;AZ13,0,1),1)</f>
        <v>1</v>
      </c>
      <c r="BB13" s="52">
        <f>IF($C$45&gt;(AY13-AY13/100*$M$35),IF($C$45&lt;(AZ13+AZ13/100*$M$35),0,1),1)</f>
        <v>1</v>
      </c>
      <c r="BC13" s="29">
        <f>IF($C$45&gt;(AY13-AY13/100*$FF$34),IF($C$45&lt;(AZ13+AZ13/100*$FF$34),0,1),1)</f>
        <v>1</v>
      </c>
      <c r="BD13" s="56">
        <v>6.5</v>
      </c>
      <c r="BE13" s="33">
        <v>12.5</v>
      </c>
      <c r="BF13" s="52">
        <f>IF($C$45&gt;BD13,IF($C$45&lt;BE13,0,1),1)</f>
        <v>1</v>
      </c>
      <c r="BG13" s="52">
        <f>IF($C$45&gt;(BD13-BD13/100*$M$35),IF($C$45&lt;(BE13+BE13/100*$M$35),0,1),1)</f>
        <v>1</v>
      </c>
      <c r="BH13" s="29">
        <f>IF($C$45&gt;(BD13-BD13/100*$FF$34),IF($C$45&lt;(BE13+BE13/100*$FF$34),0,1),1)</f>
        <v>1</v>
      </c>
      <c r="BI13" s="56">
        <v>6</v>
      </c>
      <c r="BJ13" s="33">
        <v>12</v>
      </c>
      <c r="BK13" s="52">
        <f>IF($C$45&gt;BI13,IF($C$45&lt;BJ13,0,1),1)</f>
        <v>1</v>
      </c>
      <c r="BL13" s="52">
        <f>IF($C$45&gt;(BI13-BI13/100*$M$35),IF($C$45&lt;(BJ13+BJ13/100*$M$35),0,1),1)</f>
        <v>1</v>
      </c>
      <c r="BM13" s="29">
        <f>IF($C$45&gt;(BI13-BI13/100*$FF$34),IF($C$45&lt;(BJ13+BJ13/100*$FF$34),0,1),1)</f>
        <v>1</v>
      </c>
      <c r="BN13" s="56">
        <v>8.5</v>
      </c>
      <c r="BO13" s="33">
        <v>14.5</v>
      </c>
      <c r="BP13" s="52">
        <f>IF($C$45&gt;BN13,IF($C$45&lt;BO13,0,1),1)</f>
        <v>1</v>
      </c>
      <c r="BQ13" s="52">
        <f>IF($C$45&gt;(BN13-BN13/100*$M$35),IF($C$45&lt;(BO13+BO13/100*$M$35),0,1),1)</f>
        <v>1</v>
      </c>
      <c r="BR13" s="29">
        <f>IF($C$45&gt;(BN13-BN13/100*$FF$34),IF($C$45&lt;(BO13+BO13/100*$FF$34),0,1),1)</f>
        <v>1</v>
      </c>
      <c r="BS13" s="56">
        <v>18.5</v>
      </c>
      <c r="BT13" s="33">
        <v>24.5</v>
      </c>
      <c r="BU13" s="52">
        <f>IF($C$45&gt;BS13,IF($C$45&lt;BT13,0,1),1)</f>
        <v>1</v>
      </c>
      <c r="BV13" s="52">
        <f>IF($C$45&gt;(BS13-BS13/100*$M$35),IF($C$45&lt;(BT13+BT13/100*$M$35),0,1),1)</f>
        <v>1</v>
      </c>
      <c r="BW13" s="29">
        <f>IF($C$45&gt;(BS13-BS13/100*$FF$34),IF($C$45&lt;(BT13+BT13/100*$FF$34),0,1),1)</f>
        <v>1</v>
      </c>
      <c r="BX13" s="56">
        <v>11</v>
      </c>
      <c r="BY13" s="33">
        <v>17</v>
      </c>
      <c r="BZ13" s="52">
        <f>IF($C$45&gt;BX13,IF($C$45&lt;BY13,0,1),1)</f>
        <v>1</v>
      </c>
      <c r="CA13" s="52">
        <f>IF($C$45&gt;(BX13-BX13/100*$M$35),IF($C$45&lt;(BY13+BY13/100*$M$35),0,1),1)</f>
        <v>1</v>
      </c>
      <c r="CB13" s="29">
        <f>IF($C$45&gt;(BX13-BX13/100*$FF$34),IF($C$45&lt;(BY13+BY13/100*$FF$34),0,1),1)</f>
        <v>1</v>
      </c>
      <c r="CC13" s="56">
        <v>19</v>
      </c>
      <c r="CD13" s="33">
        <v>25</v>
      </c>
      <c r="CE13" s="52">
        <f>IF($C$45&gt;CC13,IF($C$45&lt;CD13,0,1),1)</f>
        <v>1</v>
      </c>
      <c r="CF13" s="52">
        <f>IF($C$45&gt;(CC13-CC13/100*$M$35),IF($C$45&lt;(CD13+CD13/100*$M$35),0,1),1)</f>
        <v>1</v>
      </c>
      <c r="CG13" s="29">
        <f>IF($C$45&gt;(CC13-CC13/100*$FF$34),IF($C$45&lt;(CD13+CD13/100*$FF$34),0,1),1)</f>
        <v>1</v>
      </c>
      <c r="CH13" s="56">
        <v>-1E-05</v>
      </c>
      <c r="CI13" s="33">
        <v>6.5</v>
      </c>
      <c r="CJ13" s="52">
        <f>IF($C$45&gt;CH13,IF($C$45&lt;CI13,0,1),1)</f>
        <v>0</v>
      </c>
      <c r="CK13" s="52">
        <f>IF($C$45&gt;(CH13-CH13/100*$M$35),IF($C$45&lt;(CI13+CI13/100*$M$35),0,1),1)</f>
        <v>0</v>
      </c>
      <c r="CL13" s="29">
        <f>IF($C$45&gt;(CH13-CH13/100*$FF$34),IF($C$45&lt;(CI13+CI13/100*$FF$34),0,1),1)</f>
        <v>0</v>
      </c>
      <c r="CM13" s="56">
        <v>6</v>
      </c>
      <c r="CN13" s="33">
        <v>16</v>
      </c>
      <c r="CO13" s="52">
        <f>IF($C$45&gt;CM13,IF($C$45&lt;CN13,0,1),1)</f>
        <v>1</v>
      </c>
      <c r="CP13" s="52">
        <f>IF($C$45&gt;(CM13-CM13/100*$M$35),IF($C$45&lt;(CN13+CN13/100*$M$35),0,1),1)</f>
        <v>1</v>
      </c>
      <c r="CQ13" s="29">
        <f>IF($C$45&gt;(CM13-CM13/100*$FF$34),IF($C$45&lt;(CN13+CN13/100*$FF$34),0,1),1)</f>
        <v>1</v>
      </c>
      <c r="CR13" s="56">
        <v>16</v>
      </c>
      <c r="CS13" s="33">
        <v>24.5</v>
      </c>
      <c r="CT13" s="52">
        <f>IF($C$45&gt;CR13,IF($C$45&lt;CS13,0,1),1)</f>
        <v>1</v>
      </c>
      <c r="CU13" s="52">
        <f>IF($C$45&gt;(CR13-CR13/100*$M$35),IF($C$45&lt;(CS13+CS13/100*$M$35),0,1),1)</f>
        <v>1</v>
      </c>
      <c r="CV13" s="29">
        <f>IF($C$45&gt;(CR13-CR13/100*$FF$34),IF($C$45&lt;(CS13+CS13/100*$FF$34),0,1),1)</f>
        <v>1</v>
      </c>
      <c r="CW13" s="56">
        <v>24</v>
      </c>
      <c r="CX13" s="33">
        <v>31.5</v>
      </c>
      <c r="CY13" s="52">
        <f>IF($C$45&gt;CW13,IF($C$45&lt;CX13,0,1),1)</f>
        <v>1</v>
      </c>
      <c r="CZ13" s="52">
        <f>IF($C$45&gt;(CW13-CW13/100*$M$35),IF($C$45&lt;(CX13+CX13/100*$M$35),0,1),1)</f>
        <v>1</v>
      </c>
      <c r="DA13" s="29">
        <f>IF($C$45&gt;(CW13-CW13/100*$FF$34),IF($C$45&lt;(CX13+CX13/100*$FF$34),0,1),1)</f>
        <v>1</v>
      </c>
      <c r="DB13" s="56">
        <v>3.5</v>
      </c>
      <c r="DC13" s="33">
        <v>9.5</v>
      </c>
      <c r="DD13" s="52">
        <f>IF($C$45&gt;DB13,IF($C$45&lt;DC13,0,1),1)</f>
        <v>1</v>
      </c>
      <c r="DE13" s="52">
        <f>IF($C$45&gt;(DB13-DB13/100*$M$35),IF($C$45&lt;(DC13+DC13/100*$M$35),0,1),1)</f>
        <v>1</v>
      </c>
      <c r="DF13" s="29">
        <f>IF($C$45&gt;(DB13-DB13/100*$FF$34),IF($C$45&lt;(DC13+DC13/100*$FF$34),0,1),1)</f>
        <v>1</v>
      </c>
      <c r="DG13" s="56">
        <v>11</v>
      </c>
      <c r="DH13" s="33">
        <v>17</v>
      </c>
      <c r="DI13" s="52">
        <f>IF($C$45&gt;DG13,IF($C$45&lt;DH13,0,1),1)</f>
        <v>1</v>
      </c>
      <c r="DJ13" s="52">
        <f>IF($C$45&gt;(DG13-DG13/100*$M$35),IF($C$45&lt;(DH13+DH13/100*$M$35),0,1),1)</f>
        <v>1</v>
      </c>
      <c r="DK13" s="29">
        <f>IF($C$45&gt;(DG13-DG13/100*$FF$34),IF($C$45&lt;(DH13+DH13/100*$FF$34),0,1),1)</f>
        <v>1</v>
      </c>
      <c r="DL13" s="56">
        <v>4</v>
      </c>
      <c r="DM13" s="33">
        <v>10</v>
      </c>
      <c r="DN13" s="52">
        <f>IF($C$45&gt;DL13,IF($C$45&lt;DM13,0,1),1)</f>
        <v>1</v>
      </c>
      <c r="DO13" s="52">
        <f>IF($C$45&gt;(DL13-DL13/100*$M$35),IF($C$45&lt;(DM13+DM13/100*$M$35),0,1),1)</f>
        <v>1</v>
      </c>
      <c r="DP13" s="29">
        <f>IF($C$45&gt;(DL13-DL13/100*$FF$34),IF($C$45&lt;(DM13+DM13/100*$FF$34),0,1),1)</f>
        <v>1</v>
      </c>
      <c r="DQ13" s="56">
        <v>4.5</v>
      </c>
      <c r="DR13" s="33">
        <v>10.5</v>
      </c>
      <c r="DS13" s="52">
        <f>IF($C$45&gt;DQ13,IF($C$45&lt;DR13,0,1),1)</f>
        <v>1</v>
      </c>
      <c r="DT13" s="52">
        <f>IF($C$45&gt;(DQ13-DQ13/100*$M$35),IF($C$45&lt;(DR13+DR13/100*$M$35),0,1),1)</f>
        <v>1</v>
      </c>
      <c r="DU13" s="29">
        <f>IF($C$45&gt;(DQ13-DQ13/100*$FF$34),IF($C$45&lt;(DR13+DR13/100*$FF$34),0,1),1)</f>
        <v>1</v>
      </c>
      <c r="DV13" s="56">
        <v>6.5</v>
      </c>
      <c r="DW13" s="33">
        <v>12.5</v>
      </c>
      <c r="DX13" s="52">
        <f>IF($C$45&gt;DV13,IF($C$45&lt;DW13,0,1),1)</f>
        <v>1</v>
      </c>
      <c r="DY13" s="52">
        <f>IF($C$45&gt;(DV13-DV13/100*$M$35),IF($C$45&lt;(DW13+DW13/100*$M$35),0,1),1)</f>
        <v>1</v>
      </c>
      <c r="DZ13" s="29">
        <f>IF($C$45&gt;(DV13-DV13/100*$FF$34),IF($C$45&lt;(DW13+DW13/100*$FF$34),0,1),1)</f>
        <v>1</v>
      </c>
      <c r="EA13" s="56">
        <v>10</v>
      </c>
      <c r="EB13" s="33">
        <v>16</v>
      </c>
      <c r="EC13" s="52">
        <f>IF($C$45&gt;EA13,IF($C$45&lt;EB13,0,1),1)</f>
        <v>1</v>
      </c>
      <c r="ED13" s="52">
        <f>IF($C$45&gt;(EA13-EA13/100*$M$35),IF($C$45&lt;(EB13+EB13/100*$M$35),0,1),1)</f>
        <v>1</v>
      </c>
      <c r="EE13" s="29">
        <f>IF($C$45&gt;(EA13-EA13/100*$FF$34),IF($C$45&lt;(EB13+EB13/100*$FF$34),0,1),1)</f>
        <v>1</v>
      </c>
      <c r="EF13" s="56">
        <v>-1E-05</v>
      </c>
      <c r="EG13" s="33">
        <v>13</v>
      </c>
      <c r="EH13" s="52">
        <f>IF($C$45&gt;EF13,IF($C$45&lt;EG13,0,1),1)</f>
        <v>0</v>
      </c>
      <c r="EI13" s="52">
        <f>IF($C$45&gt;(EF13-EF13/100*$M$35),IF($C$45&lt;(EG13+EG13/100*$M$35),0,1),1)</f>
        <v>0</v>
      </c>
      <c r="EJ13" s="29">
        <f>IF($C$45&gt;(EF13-EF13/100*$FF$34),IF($C$45&lt;(EG13+EG13/100*$FF$34),0,1),1)</f>
        <v>0</v>
      </c>
      <c r="EK13" s="56">
        <v>-1E-05</v>
      </c>
      <c r="EL13" s="33">
        <v>13</v>
      </c>
      <c r="EM13" s="52">
        <f>IF($C$45&gt;EK13,IF($C$45&lt;EL13,0,1),1)</f>
        <v>0</v>
      </c>
      <c r="EN13" s="52">
        <f>IF($C$45&gt;(EK13-EK13/100*$M$35),IF($C$45&lt;(EL13+EL13/100*$M$35),0,1),1)</f>
        <v>0</v>
      </c>
      <c r="EO13" s="29">
        <f>IF($C$45&gt;(EK13-EK13/100*$FF$34),IF($C$45&lt;(EL13+EL13/100*$FF$34),0,1),1)</f>
        <v>0</v>
      </c>
      <c r="EP13" s="56">
        <v>8.5</v>
      </c>
      <c r="EQ13" s="33">
        <v>32</v>
      </c>
      <c r="ER13" s="52">
        <f>IF($C$45&gt;EP13,IF($C$45&lt;EQ13,0,1),1)</f>
        <v>1</v>
      </c>
      <c r="ES13" s="52">
        <f>IF($C$45&gt;(EP13-EP13/100*$M$35),IF($C$45&lt;(EQ13+EQ13/100*$M$35),0,1),1)</f>
        <v>1</v>
      </c>
      <c r="ET13" s="29">
        <f>IF($C$45&gt;(EP13-EP13/100*$FF$34),IF($C$45&lt;(EQ13+EQ13/100*$FF$34),0,1),1)</f>
        <v>1</v>
      </c>
      <c r="EU13" s="56">
        <v>8.5</v>
      </c>
      <c r="EV13" s="33">
        <v>32</v>
      </c>
      <c r="EW13" s="52">
        <f>IF($C$45&gt;EU13,IF($C$45&lt;EV13,0,1),1)</f>
        <v>1</v>
      </c>
      <c r="EX13" s="52">
        <f>IF($C$45&gt;(EU13-EU13/100*$M$35),IF($C$45&lt;(EV13+EV13/100*$M$35),0,1),1)</f>
        <v>1</v>
      </c>
      <c r="EY13" s="29">
        <f>IF($C$45&gt;(EU13-EU13/100*$FF$34),IF($C$45&lt;(EV13+EV13/100*$FF$34),0,1),1)</f>
        <v>1</v>
      </c>
      <c r="EZ13" s="56">
        <v>8.5</v>
      </c>
      <c r="FA13" s="33">
        <v>32</v>
      </c>
      <c r="FB13" s="52">
        <f>IF($C$45&gt;EZ13,IF($C$45&lt;FA13,0,1),1)</f>
        <v>1</v>
      </c>
      <c r="FC13" s="52">
        <f>IF($C$45&gt;(EZ13-EZ13/100*$M$35),IF($C$45&lt;(FA13+FA13/100*$M$35),0,1),1)</f>
        <v>1</v>
      </c>
      <c r="FD13" s="29">
        <f>IF($C$45&gt;(EZ13-EZ13/100*$FF$34),IF($C$45&lt;(FA13+FA13/100*$FF$34),0,1),1)</f>
        <v>1</v>
      </c>
      <c r="FE13" s="56">
        <v>8.5</v>
      </c>
      <c r="FF13" s="33">
        <v>32</v>
      </c>
      <c r="FG13" s="52">
        <f>IF($C$45&gt;FE13,IF($C$45&lt;FF13,0,1),1)</f>
        <v>1</v>
      </c>
      <c r="FH13" s="52">
        <f>IF($C$45&gt;(FE13-FE13/100*$M$35),IF($C$45&lt;(FF13+FF13/100*$M$35),0,1),1)</f>
        <v>1</v>
      </c>
      <c r="FI13" s="29">
        <f>IF($C$45&gt;(FE13-FE13/100*$FF$34),IF($C$45&lt;(FF13+FF13/100*$FF$34),0,1),1)</f>
        <v>1</v>
      </c>
      <c r="FJ13" s="56">
        <v>25.5</v>
      </c>
      <c r="FK13" s="33">
        <v>40</v>
      </c>
      <c r="FL13" s="52">
        <f>IF($C$45&gt;FJ13,IF($C$45&lt;FK13,0,1),1)</f>
        <v>1</v>
      </c>
      <c r="FM13" s="52">
        <f>IF($C$45&gt;(FJ13-FJ13/100*$M$35),IF($C$45&lt;(FK13+FK13/100*$M$35),0,1),1)</f>
        <v>1</v>
      </c>
      <c r="FN13" s="29">
        <f>IF($C$45&gt;(FJ13-FJ13/100*$FF$34),IF($C$45&lt;(FK13+FK13/100*$FF$34),0,1),1)</f>
        <v>1</v>
      </c>
      <c r="FO13" s="56">
        <v>24</v>
      </c>
      <c r="FP13" s="33">
        <v>39</v>
      </c>
      <c r="FQ13" s="52">
        <f>IF($C$45&gt;FO13,IF($C$45&lt;FP13,0,1),1)</f>
        <v>1</v>
      </c>
      <c r="FR13" s="52">
        <f>IF($C$45&gt;(FO13-FO13/100*$M$35),IF($C$45&lt;(FP13+FP13/100*$M$35),0,1),1)</f>
        <v>1</v>
      </c>
      <c r="FS13" s="29">
        <f>IF($C$45&gt;(FO13-FO13/100*$FF$34),IF($C$45&lt;(FP13+FP13/100*$FF$34),0,1),1)</f>
        <v>1</v>
      </c>
      <c r="FT13" s="56">
        <v>-1E-05</v>
      </c>
      <c r="FU13" s="33">
        <v>3</v>
      </c>
      <c r="FV13" s="52">
        <f>IF($C$45&gt;FT13,IF($C$45&lt;FU13,0,1),1)</f>
        <v>0</v>
      </c>
      <c r="FW13" s="52">
        <f>IF($C$45&gt;(FT13-FT13/100*$M$35),IF($C$45&lt;(FU13+FU13/100*$M$35),0,1),1)</f>
        <v>0</v>
      </c>
      <c r="FX13" s="29">
        <f>IF($C$45&gt;(FT13-FT13/100*$FF$34),IF($C$45&lt;(FU13+FU13/100*$FF$34),0,1),1)</f>
        <v>0</v>
      </c>
      <c r="FY13" s="56">
        <v>-1E-05</v>
      </c>
      <c r="FZ13" s="33">
        <v>3</v>
      </c>
      <c r="GA13" s="52">
        <f>IF($C$45&gt;FY13,IF($C$45&lt;FZ13,0,1),1)</f>
        <v>0</v>
      </c>
      <c r="GB13" s="52">
        <f>IF($C$45&gt;(FY13-FY13/100*$M$35),IF($C$45&lt;(FZ13+FZ13/100*$M$35),0,1),1)</f>
        <v>0</v>
      </c>
      <c r="GC13" s="29">
        <f>IF($C$45&gt;(FY13-FY13/100*$FF$34),IF($C$45&lt;(FZ13+FZ13/100*$FF$34),0,1),1)</f>
        <v>0</v>
      </c>
      <c r="GD13" s="56">
        <v>-1E-05</v>
      </c>
      <c r="GE13" s="33">
        <v>6</v>
      </c>
      <c r="GF13" s="52">
        <f>IF($C$45&gt;GD13,IF($C$45&lt;GE13,0,1),1)</f>
        <v>0</v>
      </c>
      <c r="GG13" s="52">
        <f>IF($C$45&gt;(GD13-GD13/100*$M$35),IF($C$45&lt;(GE13+GE13/100*$M$35),0,1),1)</f>
        <v>0</v>
      </c>
      <c r="GH13" s="29">
        <f>IF($C$45&gt;(GD13-GD13/100*$FF$34),IF($C$45&lt;(GE13+GE13/100*$FF$34),0,1),1)</f>
        <v>0</v>
      </c>
      <c r="GI13" s="56">
        <v>5</v>
      </c>
      <c r="GJ13" s="33">
        <v>13.5</v>
      </c>
      <c r="GK13" s="52">
        <f>IF($C$45&gt;GI13,IF($C$45&lt;GJ13,0,1),1)</f>
        <v>1</v>
      </c>
      <c r="GL13" s="52">
        <f>IF($C$45&gt;(GI13-GI13/100*$M$35),IF($C$45&lt;(GJ13+GJ13/100*$M$35),0,1),1)</f>
        <v>1</v>
      </c>
      <c r="GM13" s="29">
        <f>IF($C$45&gt;(GI13-GI13/100*$FF$34),IF($C$45&lt;(GJ13+GJ13/100*$FF$34),0,1),1)</f>
        <v>1</v>
      </c>
      <c r="GN13" s="56">
        <v>13.5</v>
      </c>
      <c r="GO13" s="33">
        <v>22</v>
      </c>
      <c r="GP13" s="52">
        <f>IF($C$45&gt;GN13,IF($C$45&lt;GO13,0,1),1)</f>
        <v>1</v>
      </c>
      <c r="GQ13" s="52">
        <f>IF($C$45&gt;(GN13-GN13/100*$M$35),IF($C$45&lt;(GO13+GO13/100*$M$35),0,1),1)</f>
        <v>1</v>
      </c>
      <c r="GR13" s="29">
        <f>IF($C$45&gt;(GN13-GN13/100*$FF$34),IF($C$45&lt;(GO13+GO13/100*$FF$34),0,1),1)</f>
        <v>1</v>
      </c>
      <c r="GS13" s="56">
        <v>4</v>
      </c>
      <c r="GT13" s="33">
        <v>12</v>
      </c>
      <c r="GU13" s="52">
        <f>IF($C$45&gt;GS13,IF($C$45&lt;GT13,0,1),1)</f>
        <v>1</v>
      </c>
      <c r="GV13" s="52">
        <f>IF($C$45&gt;(GS13-GS13/100*$M$35),IF($C$45&lt;(GT13+GT13/100*$M$35),0,1),1)</f>
        <v>1</v>
      </c>
      <c r="GW13" s="29">
        <f>IF($C$45&gt;(GS13-GS13/100*$FF$34),IF($C$45&lt;(GT13+GT13/100*$FF$34),0,1),1)</f>
        <v>1</v>
      </c>
      <c r="GX13" s="56">
        <v>20</v>
      </c>
      <c r="GY13" s="33">
        <v>31.5</v>
      </c>
      <c r="GZ13" s="52">
        <f>IF($C$45&gt;GX13,IF($C$45&lt;GY13,0,1),1)</f>
        <v>1</v>
      </c>
      <c r="HA13" s="52">
        <f>IF($C$45&gt;(GX13-GX13/100*$M$35),IF($C$45&lt;(GY13+GY13/100*$M$35),0,1),1)</f>
        <v>1</v>
      </c>
      <c r="HB13" s="29">
        <f>IF($C$45&gt;(GX13-GX13/100*$FF$34),IF($C$45&lt;(GY13+GY13/100*$FF$34),0,1),1)</f>
        <v>1</v>
      </c>
      <c r="HC13" s="56">
        <v>-1E-05</v>
      </c>
      <c r="HD13" s="33">
        <v>12</v>
      </c>
      <c r="HE13" s="52">
        <f>IF($C$45&gt;HC13,IF($C$45&lt;HD13,0,1),1)</f>
        <v>0</v>
      </c>
      <c r="HF13" s="52">
        <f>IF($C$45&gt;(HC13-HC13/100*$M$35),IF($C$45&lt;(HD13+HD13/100*$M$35),0,1),1)</f>
        <v>0</v>
      </c>
      <c r="HG13" s="29">
        <f>IF($C$45&gt;(HC13-HC13/100*$FF$34),IF($C$45&lt;(HD13+HD13/100*$FF$34),0,1),1)</f>
        <v>0</v>
      </c>
      <c r="HH13" s="56">
        <v>3</v>
      </c>
      <c r="HI13" s="33">
        <v>9</v>
      </c>
      <c r="HJ13" s="52">
        <f>IF($C$45&gt;HH13,IF($C$45&lt;HI13,0,1),1)</f>
        <v>1</v>
      </c>
      <c r="HK13" s="52">
        <f>IF($C$45&gt;(HH13-HH13/100*$M$35),IF($C$45&lt;(HI13+HI13/100*$M$35),0,1),1)</f>
        <v>1</v>
      </c>
      <c r="HL13" s="29">
        <f>IF($C$45&gt;(HH13-HH13/100*$FF$34),IF($C$45&lt;(HI13+HI13/100*$FF$34),0,1),1)</f>
        <v>1</v>
      </c>
      <c r="HM13" s="56">
        <v>3</v>
      </c>
      <c r="HN13" s="33">
        <v>9</v>
      </c>
      <c r="HO13" s="52">
        <f>IF($C$45&gt;HM13,IF($C$45&lt;HN13,0,1),1)</f>
        <v>1</v>
      </c>
      <c r="HP13" s="52">
        <f>IF($C$45&gt;(HM13-HM13/100*$M$35),IF($C$45&lt;(HN13+HN13/100*$M$35),0,1),1)</f>
        <v>1</v>
      </c>
      <c r="HQ13" s="29">
        <f>IF($C$45&gt;(HM13-HM13/100*$FF$34),IF($C$45&lt;(HN13+HN13/100*$FF$34),0,1),1)</f>
        <v>1</v>
      </c>
      <c r="HR13" s="56">
        <v>-1E-05</v>
      </c>
      <c r="HS13" s="33">
        <v>3</v>
      </c>
      <c r="HT13" s="52">
        <f>IF($C$45&gt;HR13,IF($C$45&lt;HS13,0,1),1)</f>
        <v>0</v>
      </c>
      <c r="HU13" s="52">
        <f>IF($C$45&gt;(HR13-HR13/100*$M$35),IF($C$45&lt;(HS13+HS13/100*$M$35),0,1),1)</f>
        <v>0</v>
      </c>
      <c r="HV13" s="29">
        <f>IF($C$45&gt;(HR13-HR13/100*$FF$34),IF($C$45&lt;(HS13+HS13/100*$FF$34),0,1),1)</f>
        <v>0</v>
      </c>
      <c r="HW13" s="56">
        <v>-1E-05</v>
      </c>
      <c r="HX13" s="33">
        <v>5.5</v>
      </c>
      <c r="HY13" s="52">
        <f>IF($C$45&gt;HW13,IF($C$45&lt;HX13,0,1),1)</f>
        <v>0</v>
      </c>
      <c r="HZ13" s="52">
        <f>IF($C$45&gt;(HW13-HW13/100*$M$35),IF($C$45&lt;(HX13+HX13/100*$M$35),0,1),1)</f>
        <v>0</v>
      </c>
      <c r="IA13" s="29">
        <f>IF($C$45&gt;(HW13-HW13/100*$FF$34),IF($C$45&lt;(HX13+HX13/100*$FF$34),0,1),1)</f>
        <v>0</v>
      </c>
      <c r="IB13" s="56">
        <v>3</v>
      </c>
      <c r="IC13" s="33">
        <v>9</v>
      </c>
      <c r="ID13" s="52">
        <f>IF($C$45&gt;IB13,IF($C$45&lt;IC13,0,1),1)</f>
        <v>1</v>
      </c>
      <c r="IE13" s="52">
        <f>IF($C$45&gt;(IB13-IB13/100*$M$35),IF($C$45&lt;(IC13+IC13/100*$M$35),0,1),1)</f>
        <v>1</v>
      </c>
      <c r="IF13" s="29">
        <f>IF($C$45&gt;(IB13-IB13/100*$FF$34),IF($C$45&lt;(IC13+IC13/100*$FF$34),0,1),1)</f>
        <v>1</v>
      </c>
      <c r="IG13" s="56">
        <v>-1E-05</v>
      </c>
      <c r="IH13" s="33">
        <v>6</v>
      </c>
      <c r="II13" s="52">
        <f>IF($C$45&gt;IG13,IF($C$45&lt;IH13,0,1),1)</f>
        <v>0</v>
      </c>
      <c r="IJ13" s="52">
        <f>IF($C$45&gt;(IG13-IG13/100*$M$35),IF($C$45&lt;(IH13+IH13/100*$M$35),0,1),1)</f>
        <v>0</v>
      </c>
      <c r="IK13" s="29">
        <f>IF($C$45&gt;(IG13-IG13/100*$FF$34),IF($C$45&lt;(IH13+IH13/100*$FF$34),0,1),1)</f>
        <v>0</v>
      </c>
      <c r="IL13" s="61"/>
    </row>
    <row r="14" spans="1:246" ht="12" customHeight="1" thickBot="1">
      <c r="A14" s="60"/>
      <c r="B14" s="3" t="s">
        <v>85</v>
      </c>
      <c r="C14" s="124"/>
      <c r="D14" s="124"/>
      <c r="E14" s="124"/>
      <c r="F14" s="61"/>
      <c r="H14" s="10" t="s">
        <v>86</v>
      </c>
      <c r="I14" s="3" t="str">
        <f>CONCATENATE("(&lt; ",BR45,")")</f>
        <v>(&lt; 1,5)</v>
      </c>
      <c r="J14" s="23" t="str">
        <f>IF(C46=0,"-",IF(C46&gt;BR45,"nein","ja"))</f>
        <v>-</v>
      </c>
      <c r="K14" s="114"/>
      <c r="L14" s="10" t="s">
        <v>86</v>
      </c>
      <c r="M14" s="3" t="str">
        <f>CONCATENATE("(&lt; ",BT45,")")</f>
        <v>(&lt; 1,5)</v>
      </c>
      <c r="N14" s="23" t="str">
        <f>IF(C46=0,"-",IF(C46&gt;BT45,"nein","ja"))</f>
        <v>-</v>
      </c>
      <c r="O14" s="3"/>
      <c r="P14" s="10" t="s">
        <v>86</v>
      </c>
      <c r="Q14" s="3" t="str">
        <f>CONCATENATE("(&lt; ",BV45,")")</f>
        <v>(&lt; 1,5)</v>
      </c>
      <c r="R14" s="23" t="str">
        <f>IF(C46=0,"-",IF(C46&gt;BV45,"nein","ja"))</f>
        <v>-</v>
      </c>
      <c r="S14" s="3"/>
      <c r="T14" s="10" t="s">
        <v>86</v>
      </c>
      <c r="U14" s="3" t="str">
        <f>CONCATENATE("(&lt; ",BX45,")")</f>
        <v>(&lt; 1,5)</v>
      </c>
      <c r="V14" s="23" t="str">
        <f>IF(C46=0,"-",IF(C46&gt;BX45,"nein","ja"))</f>
        <v>-</v>
      </c>
      <c r="X14" s="60"/>
      <c r="Y14" s="129" t="str">
        <f t="shared" si="0"/>
        <v>Ti</v>
      </c>
      <c r="Z14" s="57">
        <v>-1E-05</v>
      </c>
      <c r="AA14" s="58">
        <v>1</v>
      </c>
      <c r="AB14" s="52">
        <f>IF($C$46&gt;Z14,IF($C$46&lt;AA14,0,1),1)</f>
        <v>0</v>
      </c>
      <c r="AC14" s="52">
        <f>IF($C$46&gt;(Z14-Z14/100*$M$35),IF($C$46&lt;(AA14+AA14/100*$M$35),0,1),1)</f>
        <v>0</v>
      </c>
      <c r="AD14" s="29">
        <f>IF($C$46&gt;(Z14-Z14/100*$FF$34),IF($C$46&lt;(AA14+AA14/100*$FF$34),0,1),1)</f>
        <v>0</v>
      </c>
      <c r="AE14" s="57">
        <v>-1E-05</v>
      </c>
      <c r="AF14" s="58">
        <v>1</v>
      </c>
      <c r="AG14" s="52">
        <f>IF($C$46&gt;AE14,IF($C$46&lt;AF14,0,1),1)</f>
        <v>0</v>
      </c>
      <c r="AH14" s="52">
        <f>IF($C$46&gt;(AE14-AE14/100*$M$35),IF($C$46&lt;(AF14+AF14/100*$M$35),0,1),1)</f>
        <v>0</v>
      </c>
      <c r="AI14" s="29">
        <f>IF($C$46&gt;(AE14-AE14/100*$FF$34),IF($C$46&lt;(AF14+AF14/100*$FF$34),0,1),1)</f>
        <v>0</v>
      </c>
      <c r="AJ14" s="57">
        <v>-1E-05</v>
      </c>
      <c r="AK14" s="58">
        <v>3</v>
      </c>
      <c r="AL14" s="52">
        <f>IF($C$46&gt;AJ14,IF($C$46&lt;AK14,0,1),1)</f>
        <v>0</v>
      </c>
      <c r="AM14" s="52">
        <f>IF($C$46&gt;(AJ14-AJ14/100*$M$35),IF($C$46&lt;(AK14+AK14/100*$M$35),0,1),1)</f>
        <v>0</v>
      </c>
      <c r="AN14" s="29">
        <f>IF($C$46&gt;(AJ14-AJ14/100*$FF$34),IF($C$46&lt;(AK14+AK14/100*$FF$34),0,1),1)</f>
        <v>0</v>
      </c>
      <c r="AO14" s="57">
        <v>-1E-05</v>
      </c>
      <c r="AP14" s="58">
        <v>3</v>
      </c>
      <c r="AQ14" s="52">
        <f>IF($C$46&gt;AO14,IF($C$46&lt;AP14,0,1),1)</f>
        <v>0</v>
      </c>
      <c r="AR14" s="52">
        <f>IF($C$46&gt;(AO14-AO14/100*$M$35),IF($C$46&lt;(AP14+AP14/100*$M$35),0,1),1)</f>
        <v>0</v>
      </c>
      <c r="AS14" s="29">
        <f>IF($C$46&gt;(AO14-AO14/100*$FF$34),IF($C$46&lt;(AP14+AP14/100*$FF$34),0,1),1)</f>
        <v>0</v>
      </c>
      <c r="AT14" s="57">
        <v>-1E-05</v>
      </c>
      <c r="AU14" s="58">
        <v>3</v>
      </c>
      <c r="AV14" s="52">
        <f>IF($C$46&gt;AT14,IF($C$46&lt;AU14,0,1),1)</f>
        <v>0</v>
      </c>
      <c r="AW14" s="52">
        <f>IF($C$46&gt;(AT14-AT14/100*$M$35),IF($C$46&lt;(AU14+AU14/100*$M$35),0,1),1)</f>
        <v>0</v>
      </c>
      <c r="AX14" s="29">
        <f>IF($C$46&gt;(AT14-AT14/100*$FF$34),IF($C$46&lt;(AU14+AU14/100*$FF$34),0,1),1)</f>
        <v>0</v>
      </c>
      <c r="AY14" s="57">
        <v>-1E-05</v>
      </c>
      <c r="AZ14" s="58">
        <v>3</v>
      </c>
      <c r="BA14" s="52">
        <f>IF($C$46&gt;AY14,IF($C$46&lt;AZ14,0,1),1)</f>
        <v>0</v>
      </c>
      <c r="BB14" s="52">
        <f>IF($C$46&gt;(AY14-AY14/100*$M$35),IF($C$46&lt;(AZ14+AZ14/100*$M$35),0,1),1)</f>
        <v>0</v>
      </c>
      <c r="BC14" s="29">
        <f>IF($C$46&gt;(AY14-AY14/100*$FF$34),IF($C$46&lt;(AZ14+AZ14/100*$FF$34),0,1),1)</f>
        <v>0</v>
      </c>
      <c r="BD14" s="57">
        <v>-1E-05</v>
      </c>
      <c r="BE14" s="58">
        <v>3</v>
      </c>
      <c r="BF14" s="52">
        <f>IF($C$46&gt;BD14,IF($C$46&lt;BE14,0,1),1)</f>
        <v>0</v>
      </c>
      <c r="BG14" s="52">
        <f>IF($C$46&gt;(BD14-BD14/100*$M$35),IF($C$46&lt;(BE14+BE14/100*$M$35),0,1),1)</f>
        <v>0</v>
      </c>
      <c r="BH14" s="29">
        <f>IF($C$46&gt;(BD14-BD14/100*$FF$34),IF($C$46&lt;(BE14+BE14/100*$FF$34),0,1),1)</f>
        <v>0</v>
      </c>
      <c r="BI14" s="57">
        <v>-1E-05</v>
      </c>
      <c r="BJ14" s="58">
        <v>3</v>
      </c>
      <c r="BK14" s="52">
        <f>IF($C$46&gt;BI14,IF($C$46&lt;BJ14,0,1),1)</f>
        <v>0</v>
      </c>
      <c r="BL14" s="52">
        <f>IF($C$46&gt;(BI14-BI14/100*$M$35),IF($C$46&lt;(BJ14+BJ14/100*$M$35),0,1),1)</f>
        <v>0</v>
      </c>
      <c r="BM14" s="29">
        <f>IF($C$46&gt;(BI14-BI14/100*$FF$34),IF($C$46&lt;(BJ14+BJ14/100*$FF$34),0,1),1)</f>
        <v>0</v>
      </c>
      <c r="BN14" s="57">
        <v>-1E-05</v>
      </c>
      <c r="BO14" s="58">
        <v>3</v>
      </c>
      <c r="BP14" s="52">
        <f>IF($C$46&gt;BN14,IF($C$46&lt;BO14,0,1),1)</f>
        <v>0</v>
      </c>
      <c r="BQ14" s="52">
        <f>IF($C$46&gt;(BN14-BN14/100*$M$35),IF($C$46&lt;(BO14+BO14/100*$M$35),0,1),1)</f>
        <v>0</v>
      </c>
      <c r="BR14" s="29">
        <f>IF($C$46&gt;(BN14-BN14/100*$FF$34),IF($C$46&lt;(BO14+BO14/100*$FF$34),0,1),1)</f>
        <v>0</v>
      </c>
      <c r="BS14" s="57">
        <v>-1E-05</v>
      </c>
      <c r="BT14" s="58">
        <v>3</v>
      </c>
      <c r="BU14" s="52">
        <f>IF($C$46&gt;BS14,IF($C$46&lt;BT14,0,1),1)</f>
        <v>0</v>
      </c>
      <c r="BV14" s="52">
        <f>IF($C$46&gt;(BS14-BS14/100*$M$35),IF($C$46&lt;(BT14+BT14/100*$M$35),0,1),1)</f>
        <v>0</v>
      </c>
      <c r="BW14" s="29">
        <f>IF($C$46&gt;(BS14-BS14/100*$FF$34),IF($C$46&lt;(BT14+BT14/100*$FF$34),0,1),1)</f>
        <v>0</v>
      </c>
      <c r="BX14" s="57">
        <v>-1E-05</v>
      </c>
      <c r="BY14" s="58">
        <v>3</v>
      </c>
      <c r="BZ14" s="52">
        <f>IF($C$46&gt;BX14,IF($C$46&lt;BY14,0,1),1)</f>
        <v>0</v>
      </c>
      <c r="CA14" s="52">
        <f>IF($C$46&gt;(BX14-BX14/100*$M$35),IF($C$46&lt;(BY14+BY14/100*$M$35),0,1),1)</f>
        <v>0</v>
      </c>
      <c r="CB14" s="29">
        <f>IF($C$46&gt;(BX14-BX14/100*$FF$34),IF($C$46&lt;(BY14+BY14/100*$FF$34),0,1),1)</f>
        <v>0</v>
      </c>
      <c r="CC14" s="57">
        <v>-1E-05</v>
      </c>
      <c r="CD14" s="58">
        <v>3</v>
      </c>
      <c r="CE14" s="52">
        <f>IF($C$46&gt;CC14,IF($C$46&lt;CD14,0,1),1)</f>
        <v>0</v>
      </c>
      <c r="CF14" s="52">
        <f>IF($C$46&gt;(CC14-CC14/100*$M$35),IF($C$46&lt;(CD14+CD14/100*$M$35),0,1),1)</f>
        <v>0</v>
      </c>
      <c r="CG14" s="29">
        <f>IF($C$46&gt;(CC14-CC14/100*$FF$34),IF($C$46&lt;(CD14+CD14/100*$FF$34),0,1),1)</f>
        <v>0</v>
      </c>
      <c r="CH14" s="57">
        <v>-1E-05</v>
      </c>
      <c r="CI14" s="58">
        <v>1</v>
      </c>
      <c r="CJ14" s="52">
        <f>IF($C$46&gt;CH14,IF($C$46&lt;CI14,0,1),1)</f>
        <v>0</v>
      </c>
      <c r="CK14" s="52">
        <f>IF($C$46&gt;(CH14-CH14/100*$M$35),IF($C$46&lt;(CI14+CI14/100*$M$35),0,1),1)</f>
        <v>0</v>
      </c>
      <c r="CL14" s="29">
        <f>IF($C$46&gt;(CH14-CH14/100*$FF$34),IF($C$46&lt;(CI14+CI14/100*$FF$34),0,1),1)</f>
        <v>0</v>
      </c>
      <c r="CM14" s="57">
        <v>-1E-05</v>
      </c>
      <c r="CN14" s="58">
        <v>1</v>
      </c>
      <c r="CO14" s="52">
        <f>IF($C$46&gt;CM14,IF($C$46&lt;CN14,0,1),1)</f>
        <v>0</v>
      </c>
      <c r="CP14" s="52">
        <f>IF($C$46&gt;(CM14-CM14/100*$M$35),IF($C$46&lt;(CN14+CN14/100*$M$35),0,1),1)</f>
        <v>0</v>
      </c>
      <c r="CQ14" s="29">
        <f>IF($C$46&gt;(CM14-CM14/100*$FF$34),IF($C$46&lt;(CN14+CN14/100*$FF$34),0,1),1)</f>
        <v>0</v>
      </c>
      <c r="CR14" s="57">
        <v>-1E-05</v>
      </c>
      <c r="CS14" s="58">
        <v>1</v>
      </c>
      <c r="CT14" s="52">
        <f>IF($C$46&gt;CR14,IF($C$46&lt;CS14,0,1),1)</f>
        <v>0</v>
      </c>
      <c r="CU14" s="52">
        <f>IF($C$46&gt;(CR14-CR14/100*$M$35),IF($C$46&lt;(CS14+CS14/100*$M$35),0,1),1)</f>
        <v>0</v>
      </c>
      <c r="CV14" s="29">
        <f>IF($C$46&gt;(CR14-CR14/100*$FF$34),IF($C$46&lt;(CS14+CS14/100*$FF$34),0,1),1)</f>
        <v>0</v>
      </c>
      <c r="CW14" s="57">
        <v>-1E-05</v>
      </c>
      <c r="CX14" s="58">
        <v>1</v>
      </c>
      <c r="CY14" s="52">
        <f>IF($C$46&gt;CW14,IF($C$46&lt;CX14,0,1),1)</f>
        <v>0</v>
      </c>
      <c r="CZ14" s="52">
        <f>IF($C$46&gt;(CW14-CW14/100*$M$35),IF($C$46&lt;(CX14+CX14/100*$M$35),0,1),1)</f>
        <v>0</v>
      </c>
      <c r="DA14" s="29">
        <f>IF($C$46&gt;(CW14-CW14/100*$FF$34),IF($C$46&lt;(CX14+CX14/100*$FF$34),0,1),1)</f>
        <v>0</v>
      </c>
      <c r="DB14" s="57">
        <v>-1E-05</v>
      </c>
      <c r="DC14" s="58">
        <v>2</v>
      </c>
      <c r="DD14" s="52">
        <f>IF($C$46&gt;DB14,IF($C$46&lt;DC14,0,1),1)</f>
        <v>0</v>
      </c>
      <c r="DE14" s="52">
        <f>IF($C$46&gt;(DB14-DB14/100*$M$35),IF($C$46&lt;(DC14+DC14/100*$M$35),0,1),1)</f>
        <v>0</v>
      </c>
      <c r="DF14" s="29">
        <f>IF($C$46&gt;(DB14-DB14/100*$FF$34),IF($C$46&lt;(DC14+DC14/100*$FF$34),0,1),1)</f>
        <v>0</v>
      </c>
      <c r="DG14" s="57">
        <v>-1E-05</v>
      </c>
      <c r="DH14" s="58">
        <v>3.5</v>
      </c>
      <c r="DI14" s="52">
        <f>IF($C$46&gt;DG14,IF($C$46&lt;DH14,0,1),1)</f>
        <v>0</v>
      </c>
      <c r="DJ14" s="52">
        <f>IF($C$46&gt;(DG14-DG14/100*$M$35),IF($C$46&lt;(DH14+DH14/100*$M$35),0,1),1)</f>
        <v>0</v>
      </c>
      <c r="DK14" s="29">
        <f>IF($C$46&gt;(DG14-DG14/100*$FF$34),IF($C$46&lt;(DH14+DH14/100*$FF$34),0,1),1)</f>
        <v>0</v>
      </c>
      <c r="DL14" s="57">
        <v>-1E-05</v>
      </c>
      <c r="DM14" s="58">
        <v>4.5</v>
      </c>
      <c r="DN14" s="52">
        <f>IF($C$46&gt;DL14,IF($C$46&lt;DM14,0,1),1)</f>
        <v>0</v>
      </c>
      <c r="DO14" s="52">
        <f>IF($C$46&gt;(DL14-DL14/100*$M$35),IF($C$46&lt;(DM14+DM14/100*$M$35),0,1),1)</f>
        <v>0</v>
      </c>
      <c r="DP14" s="29">
        <f>IF($C$46&gt;(DL14-DL14/100*$FF$34),IF($C$46&lt;(DM14+DM14/100*$FF$34),0,1),1)</f>
        <v>0</v>
      </c>
      <c r="DQ14" s="57">
        <v>2.5</v>
      </c>
      <c r="DR14" s="58">
        <v>8</v>
      </c>
      <c r="DS14" s="52">
        <f>IF($C$46&gt;DQ14,IF($C$46&lt;DR14,0,1),1)</f>
        <v>1</v>
      </c>
      <c r="DT14" s="52">
        <f>IF($C$46&gt;(DQ14-DQ14/100*$M$35),IF($C$46&lt;(DR14+DR14/100*$M$35),0,1),1)</f>
        <v>1</v>
      </c>
      <c r="DU14" s="29">
        <f>IF($C$46&gt;(DQ14-DQ14/100*$FF$34),IF($C$46&lt;(DR14+DR14/100*$FF$34),0,1),1)</f>
        <v>1</v>
      </c>
      <c r="DV14" s="57">
        <v>-1E-05</v>
      </c>
      <c r="DW14" s="58">
        <v>3</v>
      </c>
      <c r="DX14" s="52">
        <f>IF($C$46&gt;DV14,IF($C$46&lt;DW14,0,1),1)</f>
        <v>0</v>
      </c>
      <c r="DY14" s="52">
        <f>IF($C$46&gt;(DV14-DV14/100*$M$35),IF($C$46&lt;(DW14+DW14/100*$M$35),0,1),1)</f>
        <v>0</v>
      </c>
      <c r="DZ14" s="29">
        <f>IF($C$46&gt;(DV14-DV14/100*$FF$34),IF($C$46&lt;(DW14+DW14/100*$FF$34),0,1),1)</f>
        <v>0</v>
      </c>
      <c r="EA14" s="57">
        <v>-1E-05</v>
      </c>
      <c r="EB14" s="58">
        <v>3</v>
      </c>
      <c r="EC14" s="52">
        <f>IF($C$46&gt;EA14,IF($C$46&lt;EB14,0,1),1)</f>
        <v>0</v>
      </c>
      <c r="ED14" s="52">
        <f>IF($C$46&gt;(EA14-EA14/100*$M$35),IF($C$46&lt;(EB14+EB14/100*$M$35),0,1),1)</f>
        <v>0</v>
      </c>
      <c r="EE14" s="29">
        <f>IF($C$46&gt;(EA14-EA14/100*$FF$34),IF($C$46&lt;(EB14+EB14/100*$FF$34),0,1),1)</f>
        <v>0</v>
      </c>
      <c r="EF14" s="57">
        <v>-1E-05</v>
      </c>
      <c r="EG14" s="58">
        <v>1</v>
      </c>
      <c r="EH14" s="52">
        <f>IF($C$46&gt;EF14,IF($C$46&lt;EG14,0,1),1)</f>
        <v>0</v>
      </c>
      <c r="EI14" s="52">
        <f>IF($C$46&gt;(EF14-EF14/100*$M$35),IF($C$46&lt;(EG14+EG14/100*$M$35),0,1),1)</f>
        <v>0</v>
      </c>
      <c r="EJ14" s="29">
        <f>IF($C$46&gt;(EF14-EF14/100*$FF$34),IF($C$46&lt;(EG14+EG14/100*$FF$34),0,1),1)</f>
        <v>0</v>
      </c>
      <c r="EK14" s="57">
        <v>-1E-05</v>
      </c>
      <c r="EL14" s="58">
        <v>1</v>
      </c>
      <c r="EM14" s="52">
        <f>IF($C$46&gt;EK14,IF($C$46&lt;EL14,0,1),1)</f>
        <v>0</v>
      </c>
      <c r="EN14" s="52">
        <f>IF($C$46&gt;(EK14-EK14/100*$M$35),IF($C$46&lt;(EL14+EL14/100*$M$35),0,1),1)</f>
        <v>0</v>
      </c>
      <c r="EO14" s="29">
        <f>IF($C$46&gt;(EK14-EK14/100*$FF$34),IF($C$46&lt;(EL14+EL14/100*$FF$34),0,1),1)</f>
        <v>0</v>
      </c>
      <c r="EP14" s="57">
        <v>-1E-05</v>
      </c>
      <c r="EQ14" s="58">
        <v>1</v>
      </c>
      <c r="ER14" s="52">
        <f>IF($C$46&gt;EP14,IF($C$46&lt;EQ14,0,1),1)</f>
        <v>0</v>
      </c>
      <c r="ES14" s="52">
        <f>IF($C$46&gt;(EP14-EP14/100*$M$35),IF($C$46&lt;(EQ14+EQ14/100*$M$35),0,1),1)</f>
        <v>0</v>
      </c>
      <c r="ET14" s="29">
        <f>IF($C$46&gt;(EP14-EP14/100*$FF$34),IF($C$46&lt;(EQ14+EQ14/100*$FF$34),0,1),1)</f>
        <v>0</v>
      </c>
      <c r="EU14" s="57">
        <v>-1E-05</v>
      </c>
      <c r="EV14" s="58">
        <v>1</v>
      </c>
      <c r="EW14" s="52">
        <f>IF($C$46&gt;EU14,IF($C$46&lt;EV14,0,1),1)</f>
        <v>0</v>
      </c>
      <c r="EX14" s="52">
        <f>IF($C$46&gt;(EU14-EU14/100*$M$35),IF($C$46&lt;(EV14+EV14/100*$M$35),0,1),1)</f>
        <v>0</v>
      </c>
      <c r="EY14" s="29">
        <f>IF($C$46&gt;(EU14-EU14/100*$FF$34),IF($C$46&lt;(EV14+EV14/100*$FF$34),0,1),1)</f>
        <v>0</v>
      </c>
      <c r="EZ14" s="57">
        <v>-1E-05</v>
      </c>
      <c r="FA14" s="58">
        <v>1</v>
      </c>
      <c r="FB14" s="52">
        <f>IF($C$46&gt;EZ14,IF($C$46&lt;FA14,0,1),1)</f>
        <v>0</v>
      </c>
      <c r="FC14" s="52">
        <f>IF($C$46&gt;(EZ14-EZ14/100*$M$35),IF($C$46&lt;(FA14+FA14/100*$M$35),0,1),1)</f>
        <v>0</v>
      </c>
      <c r="FD14" s="29">
        <f>IF($C$46&gt;(EZ14-EZ14/100*$FF$34),IF($C$46&lt;(FA14+FA14/100*$FF$34),0,1),1)</f>
        <v>0</v>
      </c>
      <c r="FE14" s="57">
        <v>-1E-05</v>
      </c>
      <c r="FF14" s="58">
        <v>1</v>
      </c>
      <c r="FG14" s="52">
        <f>IF($C$46&gt;FE14,IF($C$46&lt;FF14,0,1),1)</f>
        <v>0</v>
      </c>
      <c r="FH14" s="52">
        <f>IF($C$46&gt;(FE14-FE14/100*$M$35),IF($C$46&lt;(FF14+FF14/100*$M$35),0,1),1)</f>
        <v>0</v>
      </c>
      <c r="FI14" s="29">
        <f>IF($C$46&gt;(FE14-FE14/100*$FF$34),IF($C$46&lt;(FF14+FF14/100*$FF$34),0,1),1)</f>
        <v>0</v>
      </c>
      <c r="FJ14" s="57">
        <v>-1E-05</v>
      </c>
      <c r="FK14" s="58">
        <v>1</v>
      </c>
      <c r="FL14" s="52">
        <f>IF($C$46&gt;FJ14,IF($C$46&lt;FK14,0,1),1)</f>
        <v>0</v>
      </c>
      <c r="FM14" s="52">
        <f>IF($C$46&gt;(FJ14-FJ14/100*$M$35),IF($C$46&lt;(FK14+FK14/100*$M$35),0,1),1)</f>
        <v>0</v>
      </c>
      <c r="FN14" s="29">
        <f>IF($C$46&gt;(FJ14-FJ14/100*$FF$34),IF($C$46&lt;(FK14+FK14/100*$FF$34),0,1),1)</f>
        <v>0</v>
      </c>
      <c r="FO14" s="57">
        <v>-1E-05</v>
      </c>
      <c r="FP14" s="58">
        <v>1</v>
      </c>
      <c r="FQ14" s="52">
        <f>IF($C$46&gt;FO14,IF($C$46&lt;FP14,0,1),1)</f>
        <v>0</v>
      </c>
      <c r="FR14" s="52">
        <f>IF($C$46&gt;(FO14-FO14/100*$M$35),IF($C$46&lt;(FP14+FP14/100*$M$35),0,1),1)</f>
        <v>0</v>
      </c>
      <c r="FS14" s="29">
        <f>IF($C$46&gt;(FO14-FO14/100*$FF$34),IF($C$46&lt;(FP14+FP14/100*$FF$34),0,1),1)</f>
        <v>0</v>
      </c>
      <c r="FT14" s="57">
        <v>-1E-05</v>
      </c>
      <c r="FU14" s="58">
        <v>1</v>
      </c>
      <c r="FV14" s="52">
        <f>IF($C$46&gt;FT14,IF($C$46&lt;FU14,0,1),1)</f>
        <v>0</v>
      </c>
      <c r="FW14" s="52">
        <f>IF($C$46&gt;(FT14-FT14/100*$M$35),IF($C$46&lt;(FU14+FU14/100*$M$35),0,1),1)</f>
        <v>0</v>
      </c>
      <c r="FX14" s="29">
        <f>IF($C$46&gt;(FT14-FT14/100*$FF$34),IF($C$46&lt;(FU14+FU14/100*$FF$34),0,1),1)</f>
        <v>0</v>
      </c>
      <c r="FY14" s="57">
        <v>-1E-05</v>
      </c>
      <c r="FZ14" s="58">
        <v>1</v>
      </c>
      <c r="GA14" s="52">
        <f>IF($C$46&gt;FY14,IF($C$46&lt;FZ14,0,1),1)</f>
        <v>0</v>
      </c>
      <c r="GB14" s="52">
        <f>IF($C$46&gt;(FY14-FY14/100*$M$35),IF($C$46&lt;(FZ14+FZ14/100*$M$35),0,1),1)</f>
        <v>0</v>
      </c>
      <c r="GC14" s="29">
        <f>IF($C$46&gt;(FY14-FY14/100*$FF$34),IF($C$46&lt;(FZ14+FZ14/100*$FF$34),0,1),1)</f>
        <v>0</v>
      </c>
      <c r="GD14" s="57">
        <v>-1E-05</v>
      </c>
      <c r="GE14" s="58">
        <v>3</v>
      </c>
      <c r="GF14" s="52">
        <f>IF($C$46&gt;GD14,IF($C$46&lt;GE14,0,1),1)</f>
        <v>0</v>
      </c>
      <c r="GG14" s="52">
        <f>IF($C$46&gt;(GD14-GD14/100*$M$35),IF($C$46&lt;(GE14+GE14/100*$M$35),0,1),1)</f>
        <v>0</v>
      </c>
      <c r="GH14" s="29">
        <f>IF($C$46&gt;(GD14-GD14/100*$FF$34),IF($C$46&lt;(GE14+GE14/100*$FF$34),0,1),1)</f>
        <v>0</v>
      </c>
      <c r="GI14" s="57">
        <v>-1E-05</v>
      </c>
      <c r="GJ14" s="58">
        <v>6</v>
      </c>
      <c r="GK14" s="52">
        <f>IF($C$46&gt;GI14,IF($C$46&lt;GJ14,0,1),1)</f>
        <v>0</v>
      </c>
      <c r="GL14" s="52">
        <f>IF($C$46&gt;(GI14-GI14/100*$M$35),IF($C$46&lt;(GJ14+GJ14/100*$M$35),0,1),1)</f>
        <v>0</v>
      </c>
      <c r="GM14" s="29">
        <f>IF($C$46&gt;(GI14-GI14/100*$FF$34),IF($C$46&lt;(GJ14+GJ14/100*$FF$34),0,1),1)</f>
        <v>0</v>
      </c>
      <c r="GN14" s="57">
        <v>-1E-05</v>
      </c>
      <c r="GO14" s="58">
        <v>6</v>
      </c>
      <c r="GP14" s="52">
        <f>IF($C$46&gt;GN14,IF($C$46&lt;GO14,0,1),1)</f>
        <v>0</v>
      </c>
      <c r="GQ14" s="52">
        <f>IF($C$46&gt;(GN14-GN14/100*$M$35),IF($C$46&lt;(GO14+GO14/100*$M$35),0,1),1)</f>
        <v>0</v>
      </c>
      <c r="GR14" s="29">
        <f>IF($C$46&gt;(GN14-GN14/100*$FF$34),IF($C$46&lt;(GO14+GO14/100*$FF$34),0,1),1)</f>
        <v>0</v>
      </c>
      <c r="GS14" s="57">
        <v>-1E-05</v>
      </c>
      <c r="GT14" s="58">
        <v>1</v>
      </c>
      <c r="GU14" s="52">
        <f>IF($C$46&gt;GS14,IF($C$46&lt;GT14,0,1),1)</f>
        <v>0</v>
      </c>
      <c r="GV14" s="52">
        <f>IF($C$46&gt;(GS14-GS14/100*$M$35),IF($C$46&lt;(GT14+GT14/100*$M$35),0,1),1)</f>
        <v>0</v>
      </c>
      <c r="GW14" s="29">
        <f>IF($C$46&gt;(GS14-GS14/100*$FF$34),IF($C$46&lt;(GT14+GT14/100*$FF$34),0,1),1)</f>
        <v>0</v>
      </c>
      <c r="GX14" s="57">
        <v>-1E-05</v>
      </c>
      <c r="GY14" s="58">
        <v>1</v>
      </c>
      <c r="GZ14" s="52">
        <f>IF($C$46&gt;GX14,IF($C$46&lt;GY14,0,1),1)</f>
        <v>0</v>
      </c>
      <c r="HA14" s="52">
        <f>IF($C$46&gt;(GX14-GX14/100*$M$35),IF($C$46&lt;(GY14+GY14/100*$M$35),0,1),1)</f>
        <v>0</v>
      </c>
      <c r="HB14" s="29">
        <f>IF($C$46&gt;(GX14-GX14/100*$FF$34),IF($C$46&lt;(GY14+GY14/100*$FF$34),0,1),1)</f>
        <v>0</v>
      </c>
      <c r="HC14" s="57">
        <v>-1E-05</v>
      </c>
      <c r="HD14" s="58">
        <v>1</v>
      </c>
      <c r="HE14" s="52">
        <f>IF($C$46&gt;HC14,IF($C$46&lt;HD14,0,1),1)</f>
        <v>0</v>
      </c>
      <c r="HF14" s="52">
        <f>IF($C$46&gt;(HC14-HC14/100*$M$35),IF($C$46&lt;(HD14+HD14/100*$M$35),0,1),1)</f>
        <v>0</v>
      </c>
      <c r="HG14" s="29">
        <f>IF($C$46&gt;(HC14-HC14/100*$FF$34),IF($C$46&lt;(HD14+HD14/100*$FF$34),0,1),1)</f>
        <v>0</v>
      </c>
      <c r="HH14" s="57">
        <v>-1E-05</v>
      </c>
      <c r="HI14" s="58">
        <v>1</v>
      </c>
      <c r="HJ14" s="52">
        <f>IF($C$46&gt;HH14,IF($C$46&lt;HI14,0,1),1)</f>
        <v>0</v>
      </c>
      <c r="HK14" s="52">
        <f>IF($C$46&gt;(HH14-HH14/100*$M$35),IF($C$46&lt;(HI14+HI14/100*$M$35),0,1),1)</f>
        <v>0</v>
      </c>
      <c r="HL14" s="29">
        <f>IF($C$46&gt;(HH14-HH14/100*$FF$34),IF($C$46&lt;(HI14+HI14/100*$FF$34),0,1),1)</f>
        <v>0</v>
      </c>
      <c r="HM14" s="57">
        <v>-1E-05</v>
      </c>
      <c r="HN14" s="58">
        <v>1</v>
      </c>
      <c r="HO14" s="52">
        <f>IF($C$46&gt;HM14,IF($C$46&lt;HN14,0,1),1)</f>
        <v>0</v>
      </c>
      <c r="HP14" s="52">
        <f>IF($C$46&gt;(HM14-HM14/100*$M$35),IF($C$46&lt;(HN14+HN14/100*$M$35),0,1),1)</f>
        <v>0</v>
      </c>
      <c r="HQ14" s="29">
        <f>IF($C$46&gt;(HM14-HM14/100*$FF$34),IF($C$46&lt;(HN14+HN14/100*$FF$34),0,1),1)</f>
        <v>0</v>
      </c>
      <c r="HR14" s="57">
        <v>-1E-05</v>
      </c>
      <c r="HS14" s="58">
        <v>1</v>
      </c>
      <c r="HT14" s="52">
        <f>IF($C$46&gt;HR14,IF($C$46&lt;HS14,0,1),1)</f>
        <v>0</v>
      </c>
      <c r="HU14" s="52">
        <f>IF($C$46&gt;(HR14-HR14/100*$M$35),IF($C$46&lt;(HS14+HS14/100*$M$35),0,1),1)</f>
        <v>0</v>
      </c>
      <c r="HV14" s="29">
        <f>IF($C$46&gt;(HR14-HR14/100*$FF$34),IF($C$46&lt;(HS14+HS14/100*$FF$34),0,1),1)</f>
        <v>0</v>
      </c>
      <c r="HW14" s="57">
        <v>-1E-05</v>
      </c>
      <c r="HX14" s="58">
        <v>1</v>
      </c>
      <c r="HY14" s="52">
        <f>IF($C$46&gt;HW14,IF($C$46&lt;HX14,0,1),1)</f>
        <v>0</v>
      </c>
      <c r="HZ14" s="52">
        <f>IF($C$46&gt;(HW14-HW14/100*$M$35),IF($C$46&lt;(HX14+HX14/100*$M$35),0,1),1)</f>
        <v>0</v>
      </c>
      <c r="IA14" s="29">
        <f>IF($C$46&gt;(HW14-HW14/100*$FF$34),IF($C$46&lt;(HX14+HX14/100*$FF$34),0,1),1)</f>
        <v>0</v>
      </c>
      <c r="IB14" s="57">
        <v>-1E-05</v>
      </c>
      <c r="IC14" s="58">
        <v>1</v>
      </c>
      <c r="ID14" s="52">
        <f>IF($C$46&gt;IB14,IF($C$46&lt;IC14,0,1),1)</f>
        <v>0</v>
      </c>
      <c r="IE14" s="52">
        <f>IF($C$46&gt;(IB14-IB14/100*$M$35),IF($C$46&lt;(IC14+IC14/100*$M$35),0,1),1)</f>
        <v>0</v>
      </c>
      <c r="IF14" s="29">
        <f>IF($C$46&gt;(IB14-IB14/100*$FF$34),IF($C$46&lt;(IC14+IC14/100*$FF$34),0,1),1)</f>
        <v>0</v>
      </c>
      <c r="IG14" s="57">
        <v>-1E-05</v>
      </c>
      <c r="IH14" s="58">
        <v>1.5</v>
      </c>
      <c r="II14" s="52">
        <f>IF($C$46&gt;IG14,IF($C$46&lt;IH14,0,1),1)</f>
        <v>0</v>
      </c>
      <c r="IJ14" s="52">
        <f>IF($C$46&gt;(IG14-IG14/100*$M$35),IF($C$46&lt;(IH14+IH14/100*$M$35),0,1),1)</f>
        <v>0</v>
      </c>
      <c r="IK14" s="29">
        <f>IF($C$46&gt;(IG14-IG14/100*$FF$34),IF($C$46&lt;(IH14+IH14/100*$FF$34),0,1),1)</f>
        <v>0</v>
      </c>
      <c r="IL14" s="61"/>
    </row>
    <row r="15" spans="1:246" ht="12" customHeight="1" thickBot="1">
      <c r="A15" s="60"/>
      <c r="B15" s="3" t="s">
        <v>87</v>
      </c>
      <c r="C15" s="124"/>
      <c r="D15" s="124"/>
      <c r="E15" s="124"/>
      <c r="F15" s="61"/>
      <c r="H15" s="191" t="s">
        <v>88</v>
      </c>
      <c r="I15" s="192" t="str">
        <f>CONCATENATE("(&lt; ",BR40,")")</f>
        <v>(&lt; 1)</v>
      </c>
      <c r="J15" s="193" t="str">
        <f>IF(C41=0,"-",IF(C41&gt;BR40,"nein","ja"))</f>
        <v>-</v>
      </c>
      <c r="K15" s="114"/>
      <c r="L15" s="191" t="s">
        <v>88</v>
      </c>
      <c r="M15" s="192" t="str">
        <f>CONCATENATE("(&lt; ",BT40,")")</f>
        <v>(&lt; 1)</v>
      </c>
      <c r="N15" s="193" t="str">
        <f>IF(C41=0,"-",IF(C41&gt;BT40,"nein","ja"))</f>
        <v>-</v>
      </c>
      <c r="O15" s="3"/>
      <c r="P15" s="191" t="s">
        <v>88</v>
      </c>
      <c r="Q15" s="192" t="str">
        <f>CONCATENATE("(&lt; ",BV40,")")</f>
        <v>(&lt; 1)</v>
      </c>
      <c r="R15" s="193" t="str">
        <f>IF(C41=0,"-",IF(C41&gt;BV40,"nein","ja"))</f>
        <v>-</v>
      </c>
      <c r="S15" s="3"/>
      <c r="T15" s="191" t="s">
        <v>88</v>
      </c>
      <c r="U15" s="192" t="str">
        <f>CONCATENATE("(&lt; ",BX40,")")</f>
        <v>(&lt; 1)</v>
      </c>
      <c r="V15" s="193" t="str">
        <f>IF(C41=0,"-",IF(C41&gt;BX40,"nein","ja"))</f>
        <v>-</v>
      </c>
      <c r="X15" s="60"/>
      <c r="Y15" s="62" t="s">
        <v>89</v>
      </c>
      <c r="Z15" s="85"/>
      <c r="AA15" s="85"/>
      <c r="AB15" s="87">
        <f>SUM(AB5:AB14)</f>
        <v>4</v>
      </c>
      <c r="AC15" s="87">
        <f>SUM(AC5:AC14)</f>
        <v>4</v>
      </c>
      <c r="AD15" s="87">
        <f>SUM(AD5:AD14)</f>
        <v>4</v>
      </c>
      <c r="AE15" s="85"/>
      <c r="AF15" s="85"/>
      <c r="AG15" s="87">
        <f aca="true" t="shared" si="1" ref="AG15:AV15">SUM(AG5:AG14)</f>
        <v>4</v>
      </c>
      <c r="AH15" s="87">
        <f t="shared" si="1"/>
        <v>4</v>
      </c>
      <c r="AI15" s="87">
        <f t="shared" si="1"/>
        <v>4</v>
      </c>
      <c r="AJ15" s="85"/>
      <c r="AK15" s="85"/>
      <c r="AL15" s="87">
        <f t="shared" si="1"/>
        <v>2</v>
      </c>
      <c r="AM15" s="87">
        <f t="shared" si="1"/>
        <v>2</v>
      </c>
      <c r="AN15" s="87">
        <f t="shared" si="1"/>
        <v>2</v>
      </c>
      <c r="AO15" s="85"/>
      <c r="AP15" s="85"/>
      <c r="AQ15" s="87">
        <f t="shared" si="1"/>
        <v>5</v>
      </c>
      <c r="AR15" s="87">
        <f t="shared" si="1"/>
        <v>5</v>
      </c>
      <c r="AS15" s="87">
        <f t="shared" si="1"/>
        <v>5</v>
      </c>
      <c r="AT15" s="85"/>
      <c r="AU15" s="85"/>
      <c r="AV15" s="87">
        <f t="shared" si="1"/>
        <v>5</v>
      </c>
      <c r="AW15" s="87">
        <f aca="true" t="shared" si="2" ref="AW15:BL15">SUM(AW5:AW14)</f>
        <v>5</v>
      </c>
      <c r="AX15" s="87">
        <f t="shared" si="2"/>
        <v>5</v>
      </c>
      <c r="AY15" s="85"/>
      <c r="AZ15" s="85"/>
      <c r="BA15" s="87">
        <f t="shared" si="2"/>
        <v>6</v>
      </c>
      <c r="BB15" s="87">
        <f t="shared" si="2"/>
        <v>6</v>
      </c>
      <c r="BC15" s="87">
        <f t="shared" si="2"/>
        <v>6</v>
      </c>
      <c r="BD15" s="85"/>
      <c r="BE15" s="85"/>
      <c r="BF15" s="87">
        <f t="shared" si="2"/>
        <v>5</v>
      </c>
      <c r="BG15" s="87">
        <f t="shared" si="2"/>
        <v>5</v>
      </c>
      <c r="BH15" s="87">
        <f t="shared" si="2"/>
        <v>5</v>
      </c>
      <c r="BI15" s="85"/>
      <c r="BJ15" s="85"/>
      <c r="BK15" s="87">
        <f t="shared" si="2"/>
        <v>5</v>
      </c>
      <c r="BL15" s="87">
        <f t="shared" si="2"/>
        <v>5</v>
      </c>
      <c r="BM15" s="87">
        <f>SUM(BM5:BM14)</f>
        <v>5</v>
      </c>
      <c r="BN15" s="85"/>
      <c r="BO15" s="85"/>
      <c r="BP15" s="87">
        <f aca="true" t="shared" si="3" ref="BP15:CE15">SUM(BP5:BP14)</f>
        <v>4</v>
      </c>
      <c r="BQ15" s="87">
        <f t="shared" si="3"/>
        <v>4</v>
      </c>
      <c r="BR15" s="87">
        <f t="shared" si="3"/>
        <v>4</v>
      </c>
      <c r="BS15" s="85"/>
      <c r="BT15" s="85"/>
      <c r="BU15" s="87">
        <f t="shared" si="3"/>
        <v>4</v>
      </c>
      <c r="BV15" s="87">
        <f t="shared" si="3"/>
        <v>4</v>
      </c>
      <c r="BW15" s="87">
        <f t="shared" si="3"/>
        <v>4</v>
      </c>
      <c r="BX15" s="85"/>
      <c r="BY15" s="85"/>
      <c r="BZ15" s="87">
        <f t="shared" si="3"/>
        <v>5</v>
      </c>
      <c r="CA15" s="87">
        <f t="shared" si="3"/>
        <v>5</v>
      </c>
      <c r="CB15" s="87">
        <f t="shared" si="3"/>
        <v>5</v>
      </c>
      <c r="CC15" s="85"/>
      <c r="CD15" s="85"/>
      <c r="CE15" s="87">
        <f t="shared" si="3"/>
        <v>5</v>
      </c>
      <c r="CF15" s="87">
        <f aca="true" t="shared" si="4" ref="CF15:CU15">SUM(CF5:CF14)</f>
        <v>5</v>
      </c>
      <c r="CG15" s="87">
        <f t="shared" si="4"/>
        <v>5</v>
      </c>
      <c r="CH15" s="85"/>
      <c r="CI15" s="85"/>
      <c r="CJ15" s="87">
        <f t="shared" si="4"/>
        <v>2</v>
      </c>
      <c r="CK15" s="87">
        <f t="shared" si="4"/>
        <v>2</v>
      </c>
      <c r="CL15" s="87">
        <f t="shared" si="4"/>
        <v>2</v>
      </c>
      <c r="CM15" s="85"/>
      <c r="CN15" s="85"/>
      <c r="CO15" s="87">
        <f t="shared" si="4"/>
        <v>2</v>
      </c>
      <c r="CP15" s="87">
        <f t="shared" si="4"/>
        <v>2</v>
      </c>
      <c r="CQ15" s="87">
        <f t="shared" si="4"/>
        <v>2</v>
      </c>
      <c r="CR15" s="85"/>
      <c r="CS15" s="85"/>
      <c r="CT15" s="87">
        <f t="shared" si="4"/>
        <v>3</v>
      </c>
      <c r="CU15" s="87">
        <f t="shared" si="4"/>
        <v>3</v>
      </c>
      <c r="CV15" s="87">
        <f>SUM(CV5:CV14)</f>
        <v>3</v>
      </c>
      <c r="CW15" s="85"/>
      <c r="CX15" s="85"/>
      <c r="CY15" s="87">
        <f aca="true" t="shared" si="5" ref="CY15:DN15">SUM(CY5:CY14)</f>
        <v>4</v>
      </c>
      <c r="CZ15" s="87">
        <f t="shared" si="5"/>
        <v>4</v>
      </c>
      <c r="DA15" s="87">
        <f t="shared" si="5"/>
        <v>4</v>
      </c>
      <c r="DB15" s="85"/>
      <c r="DC15" s="85"/>
      <c r="DD15" s="87">
        <f t="shared" si="5"/>
        <v>5</v>
      </c>
      <c r="DE15" s="87">
        <f t="shared" si="5"/>
        <v>5</v>
      </c>
      <c r="DF15" s="87">
        <f t="shared" si="5"/>
        <v>5</v>
      </c>
      <c r="DG15" s="85"/>
      <c r="DH15" s="85"/>
      <c r="DI15" s="87">
        <f t="shared" si="5"/>
        <v>5</v>
      </c>
      <c r="DJ15" s="87">
        <f t="shared" si="5"/>
        <v>5</v>
      </c>
      <c r="DK15" s="87">
        <f t="shared" si="5"/>
        <v>5</v>
      </c>
      <c r="DL15" s="85"/>
      <c r="DM15" s="85"/>
      <c r="DN15" s="87">
        <f t="shared" si="5"/>
        <v>5</v>
      </c>
      <c r="DO15" s="87">
        <f aca="true" t="shared" si="6" ref="DO15:ED15">SUM(DO5:DO14)</f>
        <v>5</v>
      </c>
      <c r="DP15" s="87">
        <f t="shared" si="6"/>
        <v>5</v>
      </c>
      <c r="DQ15" s="85"/>
      <c r="DR15" s="85"/>
      <c r="DS15" s="87">
        <f t="shared" si="6"/>
        <v>6</v>
      </c>
      <c r="DT15" s="87">
        <f t="shared" si="6"/>
        <v>6</v>
      </c>
      <c r="DU15" s="87">
        <f t="shared" si="6"/>
        <v>6</v>
      </c>
      <c r="DV15" s="85"/>
      <c r="DW15" s="85"/>
      <c r="DX15" s="87">
        <f t="shared" si="6"/>
        <v>4</v>
      </c>
      <c r="DY15" s="87">
        <f t="shared" si="6"/>
        <v>4</v>
      </c>
      <c r="DZ15" s="87">
        <f t="shared" si="6"/>
        <v>4</v>
      </c>
      <c r="EA15" s="85"/>
      <c r="EB15" s="85"/>
      <c r="EC15" s="87">
        <f t="shared" si="6"/>
        <v>4</v>
      </c>
      <c r="ED15" s="87">
        <f t="shared" si="6"/>
        <v>4</v>
      </c>
      <c r="EE15" s="87">
        <f>SUM(EE5:EE14)</f>
        <v>4</v>
      </c>
      <c r="EF15" s="85"/>
      <c r="EG15" s="85"/>
      <c r="EH15" s="87">
        <f aca="true" t="shared" si="7" ref="EH15:EW15">SUM(EH5:EH14)</f>
        <v>3</v>
      </c>
      <c r="EI15" s="87">
        <f t="shared" si="7"/>
        <v>3</v>
      </c>
      <c r="EJ15" s="87">
        <f t="shared" si="7"/>
        <v>3</v>
      </c>
      <c r="EK15" s="85"/>
      <c r="EL15" s="85"/>
      <c r="EM15" s="87">
        <f t="shared" si="7"/>
        <v>3</v>
      </c>
      <c r="EN15" s="87">
        <f t="shared" si="7"/>
        <v>3</v>
      </c>
      <c r="EO15" s="87">
        <f t="shared" si="7"/>
        <v>3</v>
      </c>
      <c r="EP15" s="85"/>
      <c r="EQ15" s="85"/>
      <c r="ER15" s="87">
        <f t="shared" si="7"/>
        <v>5</v>
      </c>
      <c r="ES15" s="87">
        <f t="shared" si="7"/>
        <v>5</v>
      </c>
      <c r="ET15" s="87">
        <f t="shared" si="7"/>
        <v>5</v>
      </c>
      <c r="EU15" s="85"/>
      <c r="EV15" s="85"/>
      <c r="EW15" s="87">
        <f t="shared" si="7"/>
        <v>4</v>
      </c>
      <c r="EX15" s="87">
        <f aca="true" t="shared" si="8" ref="EX15:FM15">SUM(EX5:EX14)</f>
        <v>4</v>
      </c>
      <c r="EY15" s="87">
        <f t="shared" si="8"/>
        <v>4</v>
      </c>
      <c r="EZ15" s="85"/>
      <c r="FA15" s="85"/>
      <c r="FB15" s="87">
        <f t="shared" si="8"/>
        <v>4</v>
      </c>
      <c r="FC15" s="87">
        <f t="shared" si="8"/>
        <v>4</v>
      </c>
      <c r="FD15" s="87">
        <f t="shared" si="8"/>
        <v>4</v>
      </c>
      <c r="FE15" s="85"/>
      <c r="FF15" s="85"/>
      <c r="FG15" s="87">
        <f t="shared" si="8"/>
        <v>4</v>
      </c>
      <c r="FH15" s="87">
        <f t="shared" si="8"/>
        <v>4</v>
      </c>
      <c r="FI15" s="87">
        <f t="shared" si="8"/>
        <v>4</v>
      </c>
      <c r="FJ15" s="85"/>
      <c r="FK15" s="85"/>
      <c r="FL15" s="87">
        <f t="shared" si="8"/>
        <v>5</v>
      </c>
      <c r="FM15" s="87">
        <f t="shared" si="8"/>
        <v>5</v>
      </c>
      <c r="FN15" s="87">
        <f>SUM(FN5:FN14)</f>
        <v>5</v>
      </c>
      <c r="FO15" s="85"/>
      <c r="FP15" s="85"/>
      <c r="FQ15" s="87">
        <f aca="true" t="shared" si="9" ref="FQ15:GF15">SUM(FQ5:FQ14)</f>
        <v>5</v>
      </c>
      <c r="FR15" s="87">
        <f t="shared" si="9"/>
        <v>5</v>
      </c>
      <c r="FS15" s="87">
        <f t="shared" si="9"/>
        <v>5</v>
      </c>
      <c r="FT15" s="85"/>
      <c r="FU15" s="85"/>
      <c r="FV15" s="87">
        <f t="shared" si="9"/>
        <v>2</v>
      </c>
      <c r="FW15" s="87">
        <f t="shared" si="9"/>
        <v>2</v>
      </c>
      <c r="FX15" s="87">
        <f t="shared" si="9"/>
        <v>2</v>
      </c>
      <c r="FY15" s="85"/>
      <c r="FZ15" s="85"/>
      <c r="GA15" s="87">
        <f t="shared" si="9"/>
        <v>5</v>
      </c>
      <c r="GB15" s="87">
        <f t="shared" si="9"/>
        <v>5</v>
      </c>
      <c r="GC15" s="87">
        <f t="shared" si="9"/>
        <v>5</v>
      </c>
      <c r="GD15" s="85"/>
      <c r="GE15" s="85"/>
      <c r="GF15" s="87">
        <f t="shared" si="9"/>
        <v>4</v>
      </c>
      <c r="GG15" s="87">
        <f aca="true" t="shared" si="10" ref="GG15:GV15">SUM(GG5:GG14)</f>
        <v>4</v>
      </c>
      <c r="GH15" s="87">
        <f t="shared" si="10"/>
        <v>4</v>
      </c>
      <c r="GI15" s="85"/>
      <c r="GJ15" s="85"/>
      <c r="GK15" s="87">
        <f t="shared" si="10"/>
        <v>5</v>
      </c>
      <c r="GL15" s="87">
        <f t="shared" si="10"/>
        <v>5</v>
      </c>
      <c r="GM15" s="87">
        <f t="shared" si="10"/>
        <v>5</v>
      </c>
      <c r="GN15" s="85"/>
      <c r="GO15" s="85"/>
      <c r="GP15" s="87">
        <f t="shared" si="10"/>
        <v>6</v>
      </c>
      <c r="GQ15" s="87">
        <f t="shared" si="10"/>
        <v>6</v>
      </c>
      <c r="GR15" s="87">
        <f t="shared" si="10"/>
        <v>6</v>
      </c>
      <c r="GS15" s="85"/>
      <c r="GT15" s="85"/>
      <c r="GU15" s="87">
        <f t="shared" si="10"/>
        <v>4</v>
      </c>
      <c r="GV15" s="87">
        <f t="shared" si="10"/>
        <v>4</v>
      </c>
      <c r="GW15" s="87">
        <f>SUM(GW5:GW14)</f>
        <v>4</v>
      </c>
      <c r="GX15" s="85"/>
      <c r="GY15" s="85"/>
      <c r="GZ15" s="87">
        <f aca="true" t="shared" si="11" ref="GZ15:HO15">SUM(GZ5:GZ14)</f>
        <v>5</v>
      </c>
      <c r="HA15" s="87">
        <f t="shared" si="11"/>
        <v>5</v>
      </c>
      <c r="HB15" s="87">
        <f t="shared" si="11"/>
        <v>5</v>
      </c>
      <c r="HC15" s="85"/>
      <c r="HD15" s="85"/>
      <c r="HE15" s="87">
        <f t="shared" si="11"/>
        <v>5</v>
      </c>
      <c r="HF15" s="87">
        <f t="shared" si="11"/>
        <v>5</v>
      </c>
      <c r="HG15" s="87">
        <f t="shared" si="11"/>
        <v>5</v>
      </c>
      <c r="HH15" s="85"/>
      <c r="HI15" s="85"/>
      <c r="HJ15" s="87">
        <f t="shared" si="11"/>
        <v>4</v>
      </c>
      <c r="HK15" s="87">
        <f t="shared" si="11"/>
        <v>4</v>
      </c>
      <c r="HL15" s="87">
        <f t="shared" si="11"/>
        <v>4</v>
      </c>
      <c r="HM15" s="85"/>
      <c r="HN15" s="85"/>
      <c r="HO15" s="87">
        <f t="shared" si="11"/>
        <v>5</v>
      </c>
      <c r="HP15" s="87">
        <f aca="true" t="shared" si="12" ref="HP15:IE15">SUM(HP5:HP14)</f>
        <v>5</v>
      </c>
      <c r="HQ15" s="87">
        <f t="shared" si="12"/>
        <v>5</v>
      </c>
      <c r="HR15" s="85"/>
      <c r="HS15" s="85"/>
      <c r="HT15" s="87">
        <f t="shared" si="12"/>
        <v>4</v>
      </c>
      <c r="HU15" s="87">
        <f t="shared" si="12"/>
        <v>4</v>
      </c>
      <c r="HV15" s="87">
        <f t="shared" si="12"/>
        <v>4</v>
      </c>
      <c r="HW15" s="85"/>
      <c r="HX15" s="85"/>
      <c r="HY15" s="87">
        <f t="shared" si="12"/>
        <v>4</v>
      </c>
      <c r="HZ15" s="87">
        <f t="shared" si="12"/>
        <v>4</v>
      </c>
      <c r="IA15" s="87">
        <f t="shared" si="12"/>
        <v>4</v>
      </c>
      <c r="IB15" s="85"/>
      <c r="IC15" s="85"/>
      <c r="ID15" s="87">
        <f t="shared" si="12"/>
        <v>5</v>
      </c>
      <c r="IE15" s="87">
        <f t="shared" si="12"/>
        <v>5</v>
      </c>
      <c r="IF15" s="87">
        <f>SUM(IF5:IF14)</f>
        <v>5</v>
      </c>
      <c r="IG15" s="85"/>
      <c r="IH15" s="85"/>
      <c r="II15" s="87">
        <f>SUM(II5:II14)</f>
        <v>2</v>
      </c>
      <c r="IJ15" s="87">
        <f>SUM(IJ5:IJ14)</f>
        <v>2</v>
      </c>
      <c r="IK15" s="87">
        <f>SUM(IK5:IK14)</f>
        <v>2</v>
      </c>
      <c r="IL15" s="61"/>
    </row>
    <row r="16" spans="1:247" ht="12" customHeight="1" thickBot="1">
      <c r="A16" s="60"/>
      <c r="B16" s="3"/>
      <c r="C16" s="295" t="str">
        <f>IF(BA38=0,BA36,IF(BA38&gt;1,BA37,"-"))</f>
        <v>-</v>
      </c>
      <c r="D16" s="295"/>
      <c r="E16" s="295"/>
      <c r="F16" s="302"/>
      <c r="G16" s="294"/>
      <c r="H16" s="10" t="s">
        <v>90</v>
      </c>
      <c r="I16" s="3" t="str">
        <f>CONCATENATE("(&lt; ",BR46,")")</f>
        <v>(&lt; 1)</v>
      </c>
      <c r="J16" s="23" t="str">
        <f>IF(C38=0,"-",IF(C40/C38&lt;BR46,"ja","nein"))</f>
        <v>nein</v>
      </c>
      <c r="K16" s="114"/>
      <c r="L16" s="10" t="s">
        <v>90</v>
      </c>
      <c r="M16" s="3" t="str">
        <f>CONCATENATE("(&gt; ",BT46,")")</f>
        <v>(&gt; 1)</v>
      </c>
      <c r="N16" s="23" t="str">
        <f>IF(C38=0,"-",IF(C40/C38&gt;BT46,"ja","nein"))</f>
        <v>ja</v>
      </c>
      <c r="O16" s="3"/>
      <c r="P16" s="10" t="s">
        <v>90</v>
      </c>
      <c r="Q16" s="3" t="str">
        <f>CONCATENATE("(&gt; ",BV46,")")</f>
        <v>(&gt; 1)</v>
      </c>
      <c r="R16" s="23" t="str">
        <f>IF(C38=0,"-",IF(C40/C38&gt;BV46,"ja","nein"))</f>
        <v>ja</v>
      </c>
      <c r="S16" s="3"/>
      <c r="T16" s="10" t="s">
        <v>90</v>
      </c>
      <c r="U16" s="3" t="str">
        <f>CONCATENATE("(&gt; ",BX46,")")</f>
        <v>(&gt; 2)</v>
      </c>
      <c r="V16" s="23" t="str">
        <f>IF(C38=0,"-",IF(C40/C38&gt;BX46,"ja","nein"))</f>
        <v>nein</v>
      </c>
      <c r="X16" s="60"/>
      <c r="Y16" s="3" t="s">
        <v>91</v>
      </c>
      <c r="Z16" s="3"/>
      <c r="AA16" s="3"/>
      <c r="AB16" s="86">
        <f>IF(Z2="-","-",IF($Q$35="n",AC15,AD15))</f>
        <v>4</v>
      </c>
      <c r="AC16" s="29"/>
      <c r="AD16" s="29"/>
      <c r="AE16" s="3"/>
      <c r="AF16" s="3"/>
      <c r="AG16" s="86">
        <f>IF(AE2="-","-",IF($Q$35="n",AH15,AI15))</f>
        <v>4</v>
      </c>
      <c r="AH16" s="29"/>
      <c r="AI16" s="29"/>
      <c r="AJ16" s="3"/>
      <c r="AK16" s="3"/>
      <c r="AL16" s="86">
        <f>IF(AJ2="-","-",IF($Q$35="n",AM15,AN15))</f>
        <v>2</v>
      </c>
      <c r="AM16" s="29"/>
      <c r="AN16" s="29"/>
      <c r="AO16" s="3"/>
      <c r="AP16" s="3"/>
      <c r="AQ16" s="86">
        <f>IF(AO2="-","-",IF($Q$35="n",AR15,AS15))</f>
        <v>5</v>
      </c>
      <c r="AR16" s="29"/>
      <c r="AS16" s="29"/>
      <c r="AT16" s="3"/>
      <c r="AU16" s="3"/>
      <c r="AV16" s="86">
        <f>IF(AT2="-","-",IF($Q$35="n",AW15,AX15))</f>
        <v>5</v>
      </c>
      <c r="AW16" s="29"/>
      <c r="AX16" s="29"/>
      <c r="AY16" s="3"/>
      <c r="AZ16" s="3"/>
      <c r="BA16" s="86">
        <f>IF(AY2="-","-",IF($Q$35="n",BB15,BC15))</f>
        <v>6</v>
      </c>
      <c r="BB16" s="29"/>
      <c r="BC16" s="29"/>
      <c r="BD16" s="3"/>
      <c r="BE16" s="3"/>
      <c r="BF16" s="86">
        <f>IF(BD2="-","-",IF($Q$35="n",BG15,BH15))</f>
        <v>5</v>
      </c>
      <c r="BG16" s="29"/>
      <c r="BH16" s="29"/>
      <c r="BI16" s="3"/>
      <c r="BJ16" s="3"/>
      <c r="BK16" s="86">
        <f>IF(BI2="-","-",IF($Q$35="n",BL15,BM15))</f>
        <v>5</v>
      </c>
      <c r="BL16" s="29"/>
      <c r="BM16" s="29"/>
      <c r="BN16" s="3"/>
      <c r="BO16" s="3"/>
      <c r="BP16" s="86">
        <f>IF(BN2="-","-",IF($Q$35="n",BQ15,BR15))</f>
        <v>4</v>
      </c>
      <c r="BQ16" s="29"/>
      <c r="BR16" s="29"/>
      <c r="BS16" s="3"/>
      <c r="BT16" s="3"/>
      <c r="BU16" s="86">
        <f>IF(BS2="-","-",IF($Q$35="n",BV15,BW15))</f>
        <v>4</v>
      </c>
      <c r="BV16" s="29"/>
      <c r="BW16" s="29"/>
      <c r="BX16" s="3"/>
      <c r="BY16" s="3"/>
      <c r="BZ16" s="86">
        <f>IF(BX2="-","-",IF($Q$35="n",CA15,CB15))</f>
        <v>5</v>
      </c>
      <c r="CA16" s="29"/>
      <c r="CB16" s="29"/>
      <c r="CC16" s="3"/>
      <c r="CD16" s="3"/>
      <c r="CE16" s="86">
        <f>IF(CC2="-","-",IF($Q$35="n",CF15,CG15))</f>
        <v>5</v>
      </c>
      <c r="CF16" s="29"/>
      <c r="CG16" s="29"/>
      <c r="CH16" s="3"/>
      <c r="CI16" s="3"/>
      <c r="CJ16" s="86">
        <f>IF(CH2="-","-",IF($Q$35="n",CK15,CL15))</f>
        <v>2</v>
      </c>
      <c r="CK16" s="29"/>
      <c r="CL16" s="29"/>
      <c r="CM16" s="3"/>
      <c r="CN16" s="3"/>
      <c r="CO16" s="86">
        <f>IF(CM2="-","-",IF($Q$35="n",CP15,CQ15))</f>
        <v>2</v>
      </c>
      <c r="CP16" s="29"/>
      <c r="CQ16" s="29"/>
      <c r="CR16" s="3"/>
      <c r="CS16" s="3"/>
      <c r="CT16" s="86">
        <f>IF(CR2="-","-",IF($Q$35="n",CU15,CV15))</f>
        <v>3</v>
      </c>
      <c r="CU16" s="29"/>
      <c r="CV16" s="29"/>
      <c r="CW16" s="3"/>
      <c r="CX16" s="3"/>
      <c r="CY16" s="86">
        <f>IF(CW2="-","-",IF($Q$35="n",CZ15,DA15))</f>
        <v>4</v>
      </c>
      <c r="CZ16" s="29"/>
      <c r="DA16" s="29"/>
      <c r="DB16" s="3"/>
      <c r="DC16" s="3"/>
      <c r="DD16" s="86">
        <f>IF(DB2="-","-",IF($Q$35="n",DE15,DF15))</f>
        <v>5</v>
      </c>
      <c r="DE16" s="29"/>
      <c r="DF16" s="29"/>
      <c r="DG16" s="3"/>
      <c r="DH16" s="3"/>
      <c r="DI16" s="86">
        <f>IF(DG2="-","-",IF($Q$35="n",DJ15,DK15))</f>
        <v>5</v>
      </c>
      <c r="DJ16" s="29"/>
      <c r="DK16" s="29"/>
      <c r="DL16" s="3"/>
      <c r="DM16" s="3"/>
      <c r="DN16" s="86">
        <f>IF(DL2="-","-",IF($Q$35="n",DO15,DP15))</f>
        <v>5</v>
      </c>
      <c r="DO16" s="29"/>
      <c r="DP16" s="29"/>
      <c r="DQ16" s="3"/>
      <c r="DR16" s="3"/>
      <c r="DS16" s="86">
        <f>IF(DQ2="-","-",IF($Q$35="n",DT15,DU15))</f>
        <v>6</v>
      </c>
      <c r="DT16" s="29"/>
      <c r="DU16" s="29"/>
      <c r="DV16" s="3"/>
      <c r="DW16" s="3"/>
      <c r="DX16" s="86">
        <f>IF(DV2="-","-",IF($Q$35="n",DY15,DZ15))</f>
        <v>4</v>
      </c>
      <c r="DY16" s="29"/>
      <c r="DZ16" s="29"/>
      <c r="EA16" s="3"/>
      <c r="EB16" s="3"/>
      <c r="EC16" s="86">
        <f>IF(EA2="-","-",IF($Q$35="n",ED15,EE15))</f>
        <v>4</v>
      </c>
      <c r="ED16" s="29"/>
      <c r="EE16" s="29"/>
      <c r="EF16" s="3"/>
      <c r="EG16" s="3"/>
      <c r="EH16" s="86">
        <f>IF(EF2="-","-",IF($Q$35="n",EI15,EJ15))</f>
        <v>3</v>
      </c>
      <c r="EI16" s="29"/>
      <c r="EJ16" s="29"/>
      <c r="EK16" s="3"/>
      <c r="EL16" s="3"/>
      <c r="EM16" s="86">
        <f>IF(EK2="-","-",IF($Q$35="n",EN15,EO15))</f>
        <v>3</v>
      </c>
      <c r="EN16" s="29"/>
      <c r="EO16" s="29"/>
      <c r="EP16" s="3"/>
      <c r="EQ16" s="3"/>
      <c r="ER16" s="86">
        <f>IF(EP2="-","-",IF($Q$35="n",ES15,ET15))</f>
        <v>5</v>
      </c>
      <c r="ES16" s="29"/>
      <c r="ET16" s="29"/>
      <c r="EU16" s="3"/>
      <c r="EV16" s="3"/>
      <c r="EW16" s="86">
        <f>IF(EU2="-","-",IF($Q$35="n",EX15,EY15))</f>
        <v>4</v>
      </c>
      <c r="EX16" s="29"/>
      <c r="EY16" s="29"/>
      <c r="EZ16" s="3"/>
      <c r="FA16" s="3"/>
      <c r="FB16" s="86">
        <f>IF(EZ2="-","-",IF($Q$35="n",FC15,FD15))</f>
        <v>4</v>
      </c>
      <c r="FC16" s="29"/>
      <c r="FD16" s="29"/>
      <c r="FE16" s="3"/>
      <c r="FF16" s="3"/>
      <c r="FG16" s="86">
        <f>IF(FE2="-","-",IF($Q$35="n",FH15,FI15))</f>
        <v>4</v>
      </c>
      <c r="FH16" s="29"/>
      <c r="FI16" s="29"/>
      <c r="FJ16" s="3"/>
      <c r="FK16" s="3"/>
      <c r="FL16" s="86">
        <f>IF(FJ2="-","-",IF($Q$35="n",FM15,FN15))</f>
        <v>5</v>
      </c>
      <c r="FM16" s="29"/>
      <c r="FN16" s="29"/>
      <c r="FO16" s="3"/>
      <c r="FP16" s="3"/>
      <c r="FQ16" s="86">
        <f>IF(FO2="-","-",IF($Q$35="n",FR15,FS15))</f>
        <v>5</v>
      </c>
      <c r="FR16" s="29"/>
      <c r="FS16" s="29"/>
      <c r="FT16" s="3"/>
      <c r="FU16" s="3"/>
      <c r="FV16" s="86">
        <f>IF(FT2="-","-",IF($Q$35="n",FW15,FX15))</f>
        <v>2</v>
      </c>
      <c r="FW16" s="29"/>
      <c r="FX16" s="29"/>
      <c r="FY16" s="3"/>
      <c r="FZ16" s="3"/>
      <c r="GA16" s="86">
        <f>IF(FY2="-","-",IF($Q$35="n",GB15,GC15))</f>
        <v>5</v>
      </c>
      <c r="GB16" s="29"/>
      <c r="GC16" s="29"/>
      <c r="GD16" s="3"/>
      <c r="GE16" s="3"/>
      <c r="GF16" s="86">
        <f>IF(GD2="-","-",IF($Q$35="n",GG15,GH15))</f>
        <v>4</v>
      </c>
      <c r="GG16" s="29"/>
      <c r="GH16" s="29"/>
      <c r="GI16" s="3"/>
      <c r="GJ16" s="3"/>
      <c r="GK16" s="86">
        <f>IF(GI2="-","-",IF($Q$35="n",GL15,GM15))</f>
        <v>5</v>
      </c>
      <c r="GL16" s="29"/>
      <c r="GM16" s="29"/>
      <c r="GN16" s="3"/>
      <c r="GO16" s="3"/>
      <c r="GP16" s="86">
        <f>IF(GN2="-","-",IF($Q$35="n",GQ15,GR15))</f>
        <v>6</v>
      </c>
      <c r="GQ16" s="29"/>
      <c r="GR16" s="29"/>
      <c r="GS16" s="3"/>
      <c r="GT16" s="3"/>
      <c r="GU16" s="86">
        <f>IF(GS2="-","-",IF($Q$35="n",GV15,GW15))</f>
        <v>4</v>
      </c>
      <c r="GV16" s="29"/>
      <c r="GW16" s="29"/>
      <c r="GX16" s="3"/>
      <c r="GY16" s="3"/>
      <c r="GZ16" s="86">
        <f>IF(GX2="-","-",IF($Q$35="n",HA15,HB15))</f>
        <v>5</v>
      </c>
      <c r="HA16" s="29"/>
      <c r="HB16" s="29"/>
      <c r="HC16" s="3"/>
      <c r="HD16" s="3"/>
      <c r="HE16" s="86">
        <f>IF(HC2="-","-",IF($Q$35="n",HF15,HG15))</f>
        <v>5</v>
      </c>
      <c r="HF16" s="29"/>
      <c r="HG16" s="29"/>
      <c r="HH16" s="3"/>
      <c r="HI16" s="3"/>
      <c r="HJ16" s="86">
        <f>IF(HH2="-","-",IF($Q$35="n",HK15,HL15))</f>
        <v>4</v>
      </c>
      <c r="HK16" s="29"/>
      <c r="HL16" s="29"/>
      <c r="HM16" s="3"/>
      <c r="HN16" s="3"/>
      <c r="HO16" s="86">
        <f>IF(HM2="-","-",IF($Q$35="n",HP15,HQ15))</f>
        <v>5</v>
      </c>
      <c r="HP16" s="29"/>
      <c r="HQ16" s="29"/>
      <c r="HR16" s="3"/>
      <c r="HS16" s="3"/>
      <c r="HT16" s="86">
        <f>IF(HR2="-","-",IF($Q$35="n",HU15,HV15))</f>
        <v>4</v>
      </c>
      <c r="HU16" s="29"/>
      <c r="HV16" s="29"/>
      <c r="HW16" s="3"/>
      <c r="HX16" s="3"/>
      <c r="HY16" s="86">
        <f>IF(HW2="-","-",IF($Q$35="n",HZ15,IA15))</f>
        <v>4</v>
      </c>
      <c r="HZ16" s="29"/>
      <c r="IA16" s="29"/>
      <c r="IB16" s="3"/>
      <c r="IC16" s="3"/>
      <c r="ID16" s="86">
        <f>IF(IB2="-","-",IF($Q$35="n",IE15,IF15))</f>
        <v>5</v>
      </c>
      <c r="IE16" s="29"/>
      <c r="IF16" s="29"/>
      <c r="IG16" s="3"/>
      <c r="IH16" s="3"/>
      <c r="II16" s="86">
        <f>IF(IG2="-","-",IF($Q$35="n",IJ15,IK15))</f>
        <v>2</v>
      </c>
      <c r="IJ16" s="29"/>
      <c r="IK16" s="29"/>
      <c r="IL16" s="61"/>
      <c r="IM16" s="3"/>
    </row>
    <row r="17" spans="1:246" ht="12" customHeight="1" thickBot="1">
      <c r="A17" s="60"/>
      <c r="B17" s="170" t="s">
        <v>92</v>
      </c>
      <c r="C17" s="18"/>
      <c r="D17" s="3"/>
      <c r="E17" s="125" t="s">
        <v>93</v>
      </c>
      <c r="F17" s="48"/>
      <c r="H17" s="10" t="s">
        <v>94</v>
      </c>
      <c r="I17" s="3" t="str">
        <f>CONCATENATE("(&gt; ",BR47,")")</f>
        <v>(&gt; 4)</v>
      </c>
      <c r="J17" s="23" t="str">
        <f>IF(C45=0,"-",IF(C40/C45&gt;BR47,"ja","nein"))</f>
        <v>ja</v>
      </c>
      <c r="L17" s="9" t="s">
        <v>95</v>
      </c>
      <c r="M17" s="8" t="str">
        <f>CONCATENATE("(&gt; ",BT48,")")</f>
        <v>(&gt; 8)</v>
      </c>
      <c r="N17" s="22" t="str">
        <f>IF(C39=0,"-",IF(C40/C39&gt;BT48,"ja","nein"))</f>
        <v>-</v>
      </c>
      <c r="P17" s="10" t="s">
        <v>96</v>
      </c>
      <c r="Q17" s="3" t="str">
        <f>CONCATENATE("(&gt; ",BV49,")")</f>
        <v>(&gt; 2,4)</v>
      </c>
      <c r="R17" s="23" t="str">
        <f>IF(C43=0,"-",IF(C40/C43&gt;BV49,"ja","nein"))</f>
        <v>ja</v>
      </c>
      <c r="T17" s="10" t="s">
        <v>96</v>
      </c>
      <c r="U17" s="3" t="str">
        <f>CONCATENATE("(&gt; ",BX49,")")</f>
        <v>(&gt; 2,4)</v>
      </c>
      <c r="V17" s="23" t="str">
        <f>IF(C43=0,"-",IF(C40/C43&gt;BX49,"ja","nein"))</f>
        <v>ja</v>
      </c>
      <c r="X17" s="60"/>
      <c r="Y17" s="102"/>
      <c r="Z17" s="3" t="str">
        <f>Z2</f>
        <v>Olivin</v>
      </c>
      <c r="AA17" s="3"/>
      <c r="AB17" s="29">
        <f>IF($FF$34=0,IF(AD15=0,0,1),1)</f>
        <v>1</v>
      </c>
      <c r="AC17" s="257" t="str">
        <f>"ab 0%"</f>
        <v>ab 0%</v>
      </c>
      <c r="AD17" s="102"/>
      <c r="AE17" s="3" t="str">
        <f>AE2</f>
        <v>Olivin (Fe)</v>
      </c>
      <c r="AF17" s="3"/>
      <c r="AG17" s="29">
        <f>IF($FF$34=0,IF(AI15=0,0,1),1)</f>
        <v>1</v>
      </c>
      <c r="AH17" s="257" t="str">
        <f>"ab 0%"</f>
        <v>ab 0%</v>
      </c>
      <c r="AI17" s="102"/>
      <c r="AJ17" s="3" t="str">
        <f>AJ2</f>
        <v>Diopsid</v>
      </c>
      <c r="AK17" s="3"/>
      <c r="AL17" s="29">
        <f>IF($FF$34=0,IF(AN15=0,0,1),1)</f>
        <v>1</v>
      </c>
      <c r="AM17" s="257" t="str">
        <f>"ab 0%"</f>
        <v>ab 0%</v>
      </c>
      <c r="AN17" s="102"/>
      <c r="AO17" s="3" t="str">
        <f>AO2</f>
        <v>Diop. Augit</v>
      </c>
      <c r="AP17" s="3"/>
      <c r="AQ17" s="29">
        <f>IF($FF$34=0,IF(AS15=0,0,1),1)</f>
        <v>1</v>
      </c>
      <c r="AR17" s="257" t="str">
        <f>"ab 0%"</f>
        <v>ab 0%</v>
      </c>
      <c r="AS17" s="102"/>
      <c r="AT17" s="3" t="str">
        <f>AT2</f>
        <v>Diop. Augit (Al)</v>
      </c>
      <c r="AU17" s="3"/>
      <c r="AV17" s="29">
        <f>IF($FF$34=0,IF(AX15=0,0,1),1)</f>
        <v>1</v>
      </c>
      <c r="AW17" s="257" t="str">
        <f>"ab 0%"</f>
        <v>ab 0%</v>
      </c>
      <c r="AX17" s="102"/>
      <c r="AY17" s="3" t="str">
        <f>AY2</f>
        <v>Ägirinaugit</v>
      </c>
      <c r="AZ17" s="3"/>
      <c r="BA17" s="29">
        <f>IF($FF$34=0,IF(BC15=0,0,1),1)</f>
        <v>1</v>
      </c>
      <c r="BB17" s="257" t="str">
        <f>"ab 0%"</f>
        <v>ab 0%</v>
      </c>
      <c r="BC17" s="102"/>
      <c r="BD17" s="3" t="str">
        <f>BD2</f>
        <v>Augit</v>
      </c>
      <c r="BE17" s="3"/>
      <c r="BF17" s="29">
        <f>IF($FF$34=0,IF(BH15=0,0,1),1)</f>
        <v>1</v>
      </c>
      <c r="BG17" s="257" t="str">
        <f>"ab 0%"</f>
        <v>ab 0%</v>
      </c>
      <c r="BH17" s="102"/>
      <c r="BI17" s="3" t="str">
        <f>BI2</f>
        <v>Augit (Al)</v>
      </c>
      <c r="BJ17" s="3"/>
      <c r="BK17" s="29">
        <f>IF($FF$34=0,IF(BM15=0,0,1),1)</f>
        <v>1</v>
      </c>
      <c r="BL17" s="257" t="str">
        <f>"ab 0%"</f>
        <v>ab 0%</v>
      </c>
      <c r="BM17" s="102"/>
      <c r="BN17" s="3" t="str">
        <f>BN2</f>
        <v>Pigeonitaugit</v>
      </c>
      <c r="BO17" s="3"/>
      <c r="BP17" s="29">
        <f>IF($FF$34=0,IF(BR15=0,0,1),1)</f>
        <v>1</v>
      </c>
      <c r="BQ17" s="257" t="str">
        <f>"ab 0%"</f>
        <v>ab 0%</v>
      </c>
      <c r="BR17" s="102"/>
      <c r="BS17" s="3" t="str">
        <f>BS2</f>
        <v>Pigeonitaugit (Fe)</v>
      </c>
      <c r="BT17" s="3"/>
      <c r="BU17" s="29">
        <f>IF($FF$34=0,IF(BW15=0,0,1),1)</f>
        <v>1</v>
      </c>
      <c r="BV17" s="257" t="str">
        <f>"ab 0%"</f>
        <v>ab 0%</v>
      </c>
      <c r="BW17" s="102"/>
      <c r="BX17" s="3" t="str">
        <f>BX2</f>
        <v>Pigeonit</v>
      </c>
      <c r="BY17" s="3"/>
      <c r="BZ17" s="29">
        <f>IF($FF$34=0,IF(CB15=0,0,1),1)</f>
        <v>1</v>
      </c>
      <c r="CA17" s="257" t="str">
        <f>"ab 0%"</f>
        <v>ab 0%</v>
      </c>
      <c r="CB17" s="102"/>
      <c r="CC17" s="3" t="str">
        <f>CC2</f>
        <v>Pigeonit (Fe)</v>
      </c>
      <c r="CD17" s="3"/>
      <c r="CE17" s="29">
        <f>IF($FF$34=0,IF(CG15=0,0,1),1)</f>
        <v>1</v>
      </c>
      <c r="CF17" s="257" t="str">
        <f>"ab 0%"</f>
        <v>ab 0%</v>
      </c>
      <c r="CG17" s="102"/>
      <c r="CH17" s="3" t="str">
        <f>CH2</f>
        <v>Enstatit</v>
      </c>
      <c r="CI17" s="3"/>
      <c r="CJ17" s="29">
        <f>IF($FF$34=0,IF(CL15=0,0,1),1)</f>
        <v>1</v>
      </c>
      <c r="CK17" s="257" t="str">
        <f>"ab 0%"</f>
        <v>ab 0%</v>
      </c>
      <c r="CL17" s="102"/>
      <c r="CM17" s="3" t="str">
        <f>CM2</f>
        <v>Bronzit</v>
      </c>
      <c r="CN17" s="3"/>
      <c r="CO17" s="29">
        <f>IF($FF$34=0,IF(CQ15=0,0,1),1)</f>
        <v>1</v>
      </c>
      <c r="CP17" s="257" t="str">
        <f>"ab 0%"</f>
        <v>ab 0%</v>
      </c>
      <c r="CQ17" s="102"/>
      <c r="CR17" s="3" t="str">
        <f>CR2</f>
        <v>Hypersthen</v>
      </c>
      <c r="CS17" s="3"/>
      <c r="CT17" s="29">
        <f>IF($FF$34=0,IF(CV15=0,0,1),1)</f>
        <v>1</v>
      </c>
      <c r="CU17" s="257" t="str">
        <f>"ab 0%"</f>
        <v>ab 0%</v>
      </c>
      <c r="CV17" s="102"/>
      <c r="CW17" s="3" t="str">
        <f>CW2</f>
        <v>Fe-Hypersthen</v>
      </c>
      <c r="CX17" s="3"/>
      <c r="CY17" s="29">
        <f>IF($FF$34=0,IF(DA15=0,0,1),1)</f>
        <v>1</v>
      </c>
      <c r="CZ17" s="257" t="str">
        <f>"ab 0%"</f>
        <v>ab 0%</v>
      </c>
      <c r="DA17" s="102"/>
      <c r="DB17" s="3" t="str">
        <f>DB2</f>
        <v>Pargasit</v>
      </c>
      <c r="DC17" s="3"/>
      <c r="DD17" s="29">
        <f>IF($FF$34=0,IF(DF15=0,0,1),1)</f>
        <v>1</v>
      </c>
      <c r="DE17" s="257" t="str">
        <f>"ab 0%"</f>
        <v>ab 0%</v>
      </c>
      <c r="DF17" s="102"/>
      <c r="DG17" s="3" t="str">
        <f>DG2</f>
        <v>Hastingsit</v>
      </c>
      <c r="DH17" s="3"/>
      <c r="DI17" s="29">
        <f>IF($FF$34=0,IF(DK15=0,0,1),1)</f>
        <v>1</v>
      </c>
      <c r="DJ17" s="257" t="str">
        <f>"ab 0%"</f>
        <v>ab 0%</v>
      </c>
      <c r="DK17" s="102"/>
      <c r="DL17" s="3" t="str">
        <f>DL2</f>
        <v>Basalt. Hornbl.</v>
      </c>
      <c r="DM17" s="3"/>
      <c r="DN17" s="29">
        <f>IF($FF$34=0,IF(DP15=0,0,1),1)</f>
        <v>1</v>
      </c>
      <c r="DO17" s="257" t="str">
        <f>"ab 0%"</f>
        <v>ab 0%</v>
      </c>
      <c r="DP17" s="102"/>
      <c r="DQ17" s="3" t="str">
        <f>DQ2</f>
        <v>Kaersutit</v>
      </c>
      <c r="DR17" s="3"/>
      <c r="DS17" s="29">
        <f>IF($FF$34=0,IF(DU15=0,0,1),1)</f>
        <v>1</v>
      </c>
      <c r="DT17" s="257" t="str">
        <f>"ab 0%"</f>
        <v>ab 0%</v>
      </c>
      <c r="DU17" s="102"/>
      <c r="DV17" s="3" t="str">
        <f>DV2</f>
        <v>Tschermakit</v>
      </c>
      <c r="DW17" s="3"/>
      <c r="DX17" s="29">
        <f>IF($FF$34=0,IF(DZ15=0,0,1),1)</f>
        <v>1</v>
      </c>
      <c r="DY17" s="257" t="str">
        <f>"ab 0%"</f>
        <v>ab 0%</v>
      </c>
      <c r="DZ17" s="102"/>
      <c r="EA17" s="3" t="str">
        <f>EA2</f>
        <v>Tschermakit (Fe)</v>
      </c>
      <c r="EB17" s="3"/>
      <c r="EC17" s="29">
        <f>IF($FF$34=0,IF(EE15=0,0,1),1)</f>
        <v>1</v>
      </c>
      <c r="ED17" s="257" t="str">
        <f>"ab 0%"</f>
        <v>ab 0%</v>
      </c>
      <c r="EE17" s="102"/>
      <c r="EF17" s="3" t="str">
        <f>EF2</f>
        <v>Pennin</v>
      </c>
      <c r="EG17" s="3"/>
      <c r="EH17" s="29">
        <f>IF($FF$34=0,IF(EJ15=0,0,1),1)</f>
        <v>1</v>
      </c>
      <c r="EI17" s="257" t="str">
        <f>"ab 0%"</f>
        <v>ab 0%</v>
      </c>
      <c r="EJ17" s="102"/>
      <c r="EK17" s="3" t="str">
        <f>EK2</f>
        <v>Klinochlor</v>
      </c>
      <c r="EL17" s="3"/>
      <c r="EM17" s="29">
        <f>IF($FF$34=0,IF(EO15=0,0,1),1)</f>
        <v>1</v>
      </c>
      <c r="EN17" s="257" t="str">
        <f>"ab 0%"</f>
        <v>ab 0%</v>
      </c>
      <c r="EO17" s="102"/>
      <c r="EP17" s="3" t="str">
        <f>EP2</f>
        <v>Grochauit</v>
      </c>
      <c r="EQ17" s="3"/>
      <c r="ER17" s="29">
        <f>IF($FF$34=0,IF(ET15=0,0,1),1)</f>
        <v>1</v>
      </c>
      <c r="ES17" s="257" t="str">
        <f>"ab 0%"</f>
        <v>ab 0%</v>
      </c>
      <c r="ET17" s="102"/>
      <c r="EU17" s="3" t="str">
        <f>EU2</f>
        <v>Diabantit</v>
      </c>
      <c r="EV17" s="3"/>
      <c r="EW17" s="29">
        <f>IF($FF$34=0,IF(EY15=0,0,1),1)</f>
        <v>1</v>
      </c>
      <c r="EX17" s="257" t="str">
        <f>"ab 0%"</f>
        <v>ab 0%</v>
      </c>
      <c r="EY17" s="102"/>
      <c r="EZ17" s="3" t="str">
        <f>EZ2</f>
        <v>Pyknochlorit</v>
      </c>
      <c r="FA17" s="3"/>
      <c r="FB17" s="29">
        <f>IF($FF$34=0,IF(FD15=0,0,1),1)</f>
        <v>1</v>
      </c>
      <c r="FC17" s="257" t="str">
        <f>"ab 0%"</f>
        <v>ab 0%</v>
      </c>
      <c r="FD17" s="102"/>
      <c r="FE17" s="3" t="str">
        <f>FE2</f>
        <v>Rhipidolith</v>
      </c>
      <c r="FF17" s="3"/>
      <c r="FG17" s="29">
        <f>IF($FF$34=0,IF(FI15=0,0,1),1)</f>
        <v>1</v>
      </c>
      <c r="FH17" s="257" t="str">
        <f>"ab 0%"</f>
        <v>ab 0%</v>
      </c>
      <c r="FI17" s="102"/>
      <c r="FJ17" s="3" t="str">
        <f>FJ2</f>
        <v>Brunsvigit</v>
      </c>
      <c r="FK17" s="3"/>
      <c r="FL17" s="29">
        <f>IF($FF$34=0,IF(FN15=0,0,1),1)</f>
        <v>1</v>
      </c>
      <c r="FM17" s="257" t="str">
        <f>"ab 0%"</f>
        <v>ab 0%</v>
      </c>
      <c r="FN17" s="102"/>
      <c r="FO17" s="3" t="str">
        <f>FO2</f>
        <v>Aphrosiderit</v>
      </c>
      <c r="FP17" s="3"/>
      <c r="FQ17" s="29">
        <f>IF($FF$34=0,IF(FS15=0,0,1),1)</f>
        <v>1</v>
      </c>
      <c r="FR17" s="257" t="str">
        <f>"ab 0%"</f>
        <v>ab 0%</v>
      </c>
      <c r="FS17" s="102"/>
      <c r="FT17" s="3" t="str">
        <f>FT2</f>
        <v>Talk</v>
      </c>
      <c r="FU17" s="3"/>
      <c r="FV17" s="29">
        <f>IF($FF$34=0,IF(FX15=0,0,1),1)</f>
        <v>1</v>
      </c>
      <c r="FW17" s="257" t="str">
        <f>"ab 0%"</f>
        <v>ab 0%</v>
      </c>
      <c r="FX17" s="102"/>
      <c r="FY17" s="3" t="str">
        <f>FY2</f>
        <v>Muskovit</v>
      </c>
      <c r="FZ17" s="3"/>
      <c r="GA17" s="29">
        <f>IF($FF$34=0,IF(GC15=0,0,1),1)</f>
        <v>1</v>
      </c>
      <c r="GB17" s="257" t="str">
        <f>"ab 0%"</f>
        <v>ab 0%</v>
      </c>
      <c r="GC17" s="102"/>
      <c r="GD17" s="3" t="str">
        <f>GD2</f>
        <v>Phlogopit</v>
      </c>
      <c r="GE17" s="3"/>
      <c r="GF17" s="29">
        <f>IF($FF$34=0,IF(GH15=0,0,1),1)</f>
        <v>1</v>
      </c>
      <c r="GG17" s="257" t="str">
        <f>"ab 0%"</f>
        <v>ab 0%</v>
      </c>
      <c r="GH17" s="102"/>
      <c r="GI17" s="3" t="str">
        <f>GI2</f>
        <v>Biotit</v>
      </c>
      <c r="GJ17" s="3"/>
      <c r="GK17" s="29">
        <f>IF($FF$34=0,IF(GM15=0,0,1),1)</f>
        <v>1</v>
      </c>
      <c r="GL17" s="257" t="str">
        <f>"ab 0%"</f>
        <v>ab 0%</v>
      </c>
      <c r="GM17" s="102"/>
      <c r="GN17" s="3" t="str">
        <f>GN2</f>
        <v>Biotit (Fe)</v>
      </c>
      <c r="GO17" s="3"/>
      <c r="GP17" s="29">
        <f>IF($FF$34=0,IF(GR15=0,0,1),1)</f>
        <v>1</v>
      </c>
      <c r="GQ17" s="257" t="str">
        <f>"ab 0%"</f>
        <v>ab 0%</v>
      </c>
      <c r="GR17" s="102"/>
      <c r="GS17" s="3" t="str">
        <f>GS2</f>
        <v>Vermiculit</v>
      </c>
      <c r="GT17" s="3"/>
      <c r="GU17" s="29">
        <f>IF($FF$34=0,IF(GW15=0,0,1),1)</f>
        <v>1</v>
      </c>
      <c r="GV17" s="257" t="str">
        <f>"ab 0%"</f>
        <v>ab 0%</v>
      </c>
      <c r="GW17" s="102"/>
      <c r="GX17" s="3" t="str">
        <f>GX2</f>
        <v>Nontronit</v>
      </c>
      <c r="GY17" s="3"/>
      <c r="GZ17" s="29">
        <f>IF($FF$34=0,IF(HB15=0,0,1),1)</f>
        <v>1</v>
      </c>
      <c r="HA17" s="257" t="str">
        <f>"ab 0%"</f>
        <v>ab 0%</v>
      </c>
      <c r="HB17" s="102"/>
      <c r="HC17" s="3" t="str">
        <f>HC2</f>
        <v>Montmorillonit</v>
      </c>
      <c r="HD17" s="3"/>
      <c r="HE17" s="29">
        <f>IF($FF$34=0,IF(HG15=0,0,1),1)</f>
        <v>1</v>
      </c>
      <c r="HF17" s="257" t="str">
        <f>"ab 0%"</f>
        <v>ab 0%</v>
      </c>
      <c r="HG17" s="102"/>
      <c r="HH17" s="3" t="str">
        <f>HH2</f>
        <v>Saponit</v>
      </c>
      <c r="HI17" s="3"/>
      <c r="HJ17" s="29">
        <f>IF($FF$34=0,IF(HL15=0,0,1),1)</f>
        <v>1</v>
      </c>
      <c r="HK17" s="257" t="str">
        <f>"ab 0%"</f>
        <v>ab 0%</v>
      </c>
      <c r="HL17" s="102"/>
      <c r="HM17" s="3" t="str">
        <f>HM2</f>
        <v>Epidot</v>
      </c>
      <c r="HN17" s="3"/>
      <c r="HO17" s="29">
        <f>IF($FF$34=0,IF(HQ15=0,0,1),1)</f>
        <v>1</v>
      </c>
      <c r="HP17" s="257" t="str">
        <f>"ab 0%"</f>
        <v>ab 0%</v>
      </c>
      <c r="HQ17" s="102"/>
      <c r="HR17" s="3" t="str">
        <f>HR2</f>
        <v>Zoisit</v>
      </c>
      <c r="HS17" s="3"/>
      <c r="HT17" s="29">
        <f>IF($FF$34=0,IF(HV15=0,0,1),1)</f>
        <v>1</v>
      </c>
      <c r="HU17" s="257" t="str">
        <f>"ab 0%"</f>
        <v>ab 0%</v>
      </c>
      <c r="HV17" s="102"/>
      <c r="HW17" s="3" t="str">
        <f>HW2</f>
        <v>Prehnit</v>
      </c>
      <c r="HX17" s="3"/>
      <c r="HY17" s="29">
        <f>IF($FF$34=0,IF(IA15=0,0,1),1)</f>
        <v>1</v>
      </c>
      <c r="HZ17" s="257" t="str">
        <f>"ab 0%"</f>
        <v>ab 0%</v>
      </c>
      <c r="IA17" s="102"/>
      <c r="IB17" s="3" t="str">
        <f>IB2</f>
        <v>Pumpellyit</v>
      </c>
      <c r="IC17" s="3"/>
      <c r="ID17" s="29">
        <f>IF($FF$34=0,IF(IF15=0,0,1),1)</f>
        <v>1</v>
      </c>
      <c r="IE17" s="257" t="str">
        <f>"ab 0%"</f>
        <v>ab 0%</v>
      </c>
      <c r="IF17" s="102"/>
      <c r="IG17" s="3" t="str">
        <f>IG2</f>
        <v>Sepiolith</v>
      </c>
      <c r="IH17" s="3"/>
      <c r="II17" s="29">
        <f>IF($FF$34=0,IF(IK15=0,0,1),1)</f>
        <v>1</v>
      </c>
      <c r="IJ17" s="257" t="str">
        <f>"ab 0%"</f>
        <v>ab 0%</v>
      </c>
      <c r="IL17" s="61"/>
    </row>
    <row r="18" spans="1:246" ht="12" customHeight="1" thickTop="1">
      <c r="A18" s="60"/>
      <c r="B18" s="6" t="s">
        <v>97</v>
      </c>
      <c r="C18" s="172">
        <v>0.1</v>
      </c>
      <c r="D18" s="3"/>
      <c r="E18" s="126" t="s">
        <v>98</v>
      </c>
      <c r="F18" s="100"/>
      <c r="H18" s="9" t="s">
        <v>95</v>
      </c>
      <c r="I18" s="8" t="str">
        <f>CONCATENATE("(&gt; ",BR48,")")</f>
        <v>(&gt; 5)</v>
      </c>
      <c r="J18" s="22" t="str">
        <f>IF(C39=0,"-",IF(C40/C39&gt;BR48,"ja","nein"))</f>
        <v>-</v>
      </c>
      <c r="L18" s="27" t="s">
        <v>99</v>
      </c>
      <c r="M18" s="13"/>
      <c r="N18" s="14"/>
      <c r="P18" s="10" t="s">
        <v>95</v>
      </c>
      <c r="Q18" s="3" t="str">
        <f>CONCATENATE("(&gt; ",BV48,")")</f>
        <v>(&gt; 5)</v>
      </c>
      <c r="R18" s="23" t="str">
        <f>IF(C39=0,"-",IF(C40/C39&gt;BV48,"ja","nein"))</f>
        <v>-</v>
      </c>
      <c r="T18" s="10" t="s">
        <v>95</v>
      </c>
      <c r="U18" s="3" t="str">
        <f>CONCATENATE("(&gt; ",BX48,")")</f>
        <v>(&gt; 5)</v>
      </c>
      <c r="V18" s="23" t="str">
        <f>IF(C39=0,"-",IF(C40/C39&gt;BX48,"ja","nein"))</f>
        <v>-</v>
      </c>
      <c r="X18" s="60" t="s">
        <v>100</v>
      </c>
      <c r="Y18" s="127" t="s">
        <v>65</v>
      </c>
      <c r="Z18" s="179">
        <f aca="true" t="shared" si="13" ref="Z18:Z27">IF($Q$35="n",Z5-Z5/100*$M$35,Z5-Z5/100*$FF$34)</f>
        <v>-1E-05</v>
      </c>
      <c r="AA18" s="180">
        <f aca="true" t="shared" si="14" ref="AA18:AA27">IF($Q$35="n",AA5+AA5/100*$M$35,AA5+AA5/100*$FF$34)</f>
        <v>1</v>
      </c>
      <c r="AB18" s="29">
        <f>IF($FF$34=1,IF(AD15=0,0,1),1)</f>
        <v>1</v>
      </c>
      <c r="AC18" s="257" t="str">
        <f>"ab 1%"</f>
        <v>ab 1%</v>
      </c>
      <c r="AD18" s="127" t="s">
        <v>65</v>
      </c>
      <c r="AE18" s="179">
        <f aca="true" t="shared" si="15" ref="AE18:AE27">IF($Q$35="n",AE5-AE5/100*$M$35,AE5-AE5/100*$FF$34)</f>
        <v>-1E-05</v>
      </c>
      <c r="AF18" s="180">
        <f aca="true" t="shared" si="16" ref="AF18:AF27">IF($Q$35="n",AF5+AF5/100*$M$35,AF5+AF5/100*$FF$34)</f>
        <v>1</v>
      </c>
      <c r="AG18" s="29">
        <f>IF($FF$34=1,IF(AI15=0,0,1),1)</f>
        <v>1</v>
      </c>
      <c r="AH18" s="257" t="str">
        <f>"ab 1%"</f>
        <v>ab 1%</v>
      </c>
      <c r="AI18" s="127" t="s">
        <v>65</v>
      </c>
      <c r="AJ18" s="179">
        <f aca="true" t="shared" si="17" ref="AJ18:AJ27">IF($Q$35="n",AJ5-AJ5/100*$M$35,AJ5-AJ5/100*$FF$34)</f>
        <v>-1E-05</v>
      </c>
      <c r="AK18" s="180">
        <f aca="true" t="shared" si="18" ref="AK18:AK27">IF($Q$35="n",AK5+AK5/100*$M$35,AK5+AK5/100*$FF$34)</f>
        <v>1</v>
      </c>
      <c r="AL18" s="29">
        <f>IF($FF$34=1,IF(AN15=0,0,1),1)</f>
        <v>1</v>
      </c>
      <c r="AM18" s="257" t="str">
        <f>"ab 1%"</f>
        <v>ab 1%</v>
      </c>
      <c r="AN18" s="127" t="s">
        <v>65</v>
      </c>
      <c r="AO18" s="179">
        <f aca="true" t="shared" si="19" ref="AO18:AO27">IF($Q$35="n",AO5-AO5/100*$M$35,AO5-AO5/100*$FF$34)</f>
        <v>-1E-05</v>
      </c>
      <c r="AP18" s="180">
        <f aca="true" t="shared" si="20" ref="AP18:AP27">IF($Q$35="n",AP5+AP5/100*$M$35,AP5+AP5/100*$FF$34)</f>
        <v>1</v>
      </c>
      <c r="AQ18" s="29">
        <f>IF($FF$34=1,IF(AS15=0,0,1),1)</f>
        <v>1</v>
      </c>
      <c r="AR18" s="257" t="str">
        <f>"ab 1%"</f>
        <v>ab 1%</v>
      </c>
      <c r="AS18" s="127" t="s">
        <v>65</v>
      </c>
      <c r="AT18" s="179">
        <f aca="true" t="shared" si="21" ref="AT18:AT27">IF($Q$35="n",AT5-AT5/100*$M$35,AT5-AT5/100*$FF$34)</f>
        <v>-1E-05</v>
      </c>
      <c r="AU18" s="180">
        <f aca="true" t="shared" si="22" ref="AU18:AU27">IF($Q$35="n",AU5+AU5/100*$M$35,AU5+AU5/100*$FF$34)</f>
        <v>1</v>
      </c>
      <c r="AV18" s="29">
        <f>IF($FF$34=1,IF(AX15=0,0,1),1)</f>
        <v>1</v>
      </c>
      <c r="AW18" s="257" t="str">
        <f>"ab 1%"</f>
        <v>ab 1%</v>
      </c>
      <c r="AX18" s="127" t="s">
        <v>65</v>
      </c>
      <c r="AY18" s="179">
        <f aca="true" t="shared" si="23" ref="AY18:AY27">IF($Q$35="n",AY5-AY5/100*$M$35,AY5-AY5/100*$FF$34)</f>
        <v>2.5</v>
      </c>
      <c r="AZ18" s="180">
        <f aca="true" t="shared" si="24" ref="AZ18:AZ27">IF($Q$35="n",AZ5+AZ5/100*$M$35,AZ5+AZ5/100*$FF$34)</f>
        <v>8</v>
      </c>
      <c r="BA18" s="29">
        <f>IF($FF$34=1,IF(BC15=0,0,1),1)</f>
        <v>1</v>
      </c>
      <c r="BB18" s="257" t="str">
        <f>"ab 1%"</f>
        <v>ab 1%</v>
      </c>
      <c r="BC18" s="127" t="s">
        <v>65</v>
      </c>
      <c r="BD18" s="179">
        <f aca="true" t="shared" si="25" ref="BD18:BD27">IF($Q$35="n",BD5-BD5/100*$M$35,BD5-BD5/100*$FF$34)</f>
        <v>-1E-05</v>
      </c>
      <c r="BE18" s="180">
        <f aca="true" t="shared" si="26" ref="BE18:BE27">IF($Q$35="n",BE5+BE5/100*$M$35,BE5+BE5/100*$FF$34)</f>
        <v>1</v>
      </c>
      <c r="BF18" s="29">
        <f>IF($FF$34=1,IF(BH15=0,0,1),1)</f>
        <v>1</v>
      </c>
      <c r="BG18" s="257" t="str">
        <f>"ab 1%"</f>
        <v>ab 1%</v>
      </c>
      <c r="BH18" s="127" t="s">
        <v>65</v>
      </c>
      <c r="BI18" s="179">
        <f aca="true" t="shared" si="27" ref="BI18:BI27">IF($Q$35="n",BI5-BI5/100*$M$35,BI5-BI5/100*$FF$34)</f>
        <v>-1E-05</v>
      </c>
      <c r="BJ18" s="180">
        <f aca="true" t="shared" si="28" ref="BJ18:BJ27">IF($Q$35="n",BJ5+BJ5/100*$M$35,BJ5+BJ5/100*$FF$34)</f>
        <v>1</v>
      </c>
      <c r="BK18" s="29">
        <f>IF($FF$34=1,IF(BM15=0,0,1),1)</f>
        <v>1</v>
      </c>
      <c r="BL18" s="257" t="str">
        <f>"ab 1%"</f>
        <v>ab 1%</v>
      </c>
      <c r="BM18" s="127" t="s">
        <v>65</v>
      </c>
      <c r="BN18" s="179">
        <f aca="true" t="shared" si="29" ref="BN18:BN27">IF($Q$35="n",BN5-BN5/100*$M$35,BN5-BN5/100*$FF$34)</f>
        <v>-1E-05</v>
      </c>
      <c r="BO18" s="180">
        <f aca="true" t="shared" si="30" ref="BO18:BO27">IF($Q$35="n",BO5+BO5/100*$M$35,BO5+BO5/100*$FF$34)</f>
        <v>1</v>
      </c>
      <c r="BP18" s="29">
        <f>IF($FF$34=1,IF(BR15=0,0,1),1)</f>
        <v>1</v>
      </c>
      <c r="BQ18" s="257" t="str">
        <f>"ab 1%"</f>
        <v>ab 1%</v>
      </c>
      <c r="BR18" s="127" t="s">
        <v>65</v>
      </c>
      <c r="BS18" s="179">
        <f aca="true" t="shared" si="31" ref="BS18:BS27">IF($Q$35="n",BS5-BS5/100*$M$35,BS5-BS5/100*$FF$34)</f>
        <v>-1E-05</v>
      </c>
      <c r="BT18" s="180">
        <f aca="true" t="shared" si="32" ref="BT18:BT27">IF($Q$35="n",BT5+BT5/100*$M$35,BT5+BT5/100*$FF$34)</f>
        <v>1</v>
      </c>
      <c r="BU18" s="29">
        <f>IF($FF$34=1,IF(BW15=0,0,1),1)</f>
        <v>1</v>
      </c>
      <c r="BV18" s="257" t="str">
        <f>"ab 1%"</f>
        <v>ab 1%</v>
      </c>
      <c r="BW18" s="127" t="s">
        <v>65</v>
      </c>
      <c r="BX18" s="179">
        <f aca="true" t="shared" si="33" ref="BX18:BX27">IF($Q$35="n",BX5-BX5/100*$M$35,BX5-BX5/100*$FF$34)</f>
        <v>-1E-05</v>
      </c>
      <c r="BY18" s="180">
        <f aca="true" t="shared" si="34" ref="BY18:BY27">IF($Q$35="n",BY5+BY5/100*$M$35,BY5+BY5/100*$FF$34)</f>
        <v>1</v>
      </c>
      <c r="BZ18" s="29">
        <f>IF($FF$34=1,IF(CB15=0,0,1),1)</f>
        <v>1</v>
      </c>
      <c r="CA18" s="257" t="str">
        <f>"ab 1%"</f>
        <v>ab 1%</v>
      </c>
      <c r="CB18" s="127" t="s">
        <v>65</v>
      </c>
      <c r="CC18" s="179">
        <f aca="true" t="shared" si="35" ref="CC18:CC27">IF($Q$35="n",CC5-CC5/100*$M$35,CC5-CC5/100*$FF$34)</f>
        <v>-1E-05</v>
      </c>
      <c r="CD18" s="180">
        <f aca="true" t="shared" si="36" ref="CD18:CD27">IF($Q$35="n",CD5+CD5/100*$M$35,CD5+CD5/100*$FF$34)</f>
        <v>1</v>
      </c>
      <c r="CE18" s="29">
        <f>IF($FF$34=1,IF(CG15=0,0,1),1)</f>
        <v>1</v>
      </c>
      <c r="CF18" s="257" t="str">
        <f>"ab 1%"</f>
        <v>ab 1%</v>
      </c>
      <c r="CG18" s="127" t="s">
        <v>65</v>
      </c>
      <c r="CH18" s="179">
        <f aca="true" t="shared" si="37" ref="CH18:CH27">IF($Q$35="n",CH5-CH5/100*$M$35,CH5-CH5/100*$FF$34)</f>
        <v>-1E-05</v>
      </c>
      <c r="CI18" s="180">
        <f aca="true" t="shared" si="38" ref="CI18:CI27">IF($Q$35="n",CI5+CI5/100*$M$35,CI5+CI5/100*$FF$34)</f>
        <v>1</v>
      </c>
      <c r="CJ18" s="29">
        <f>IF($FF$34=1,IF(CL15=0,0,1),1)</f>
        <v>1</v>
      </c>
      <c r="CK18" s="257" t="str">
        <f>"ab 1%"</f>
        <v>ab 1%</v>
      </c>
      <c r="CL18" s="127" t="s">
        <v>65</v>
      </c>
      <c r="CM18" s="179">
        <f aca="true" t="shared" si="39" ref="CM18:CM27">IF($Q$35="n",CM5-CM5/100*$M$35,CM5-CM5/100*$FF$34)</f>
        <v>-1E-05</v>
      </c>
      <c r="CN18" s="180">
        <f aca="true" t="shared" si="40" ref="CN18:CN27">IF($Q$35="n",CN5+CN5/100*$M$35,CN5+CN5/100*$FF$34)</f>
        <v>1</v>
      </c>
      <c r="CO18" s="29">
        <f>IF($FF$34=1,IF(CQ15=0,0,1),1)</f>
        <v>1</v>
      </c>
      <c r="CP18" s="257" t="str">
        <f>"ab 1%"</f>
        <v>ab 1%</v>
      </c>
      <c r="CQ18" s="127" t="s">
        <v>65</v>
      </c>
      <c r="CR18" s="179">
        <f aca="true" t="shared" si="41" ref="CR18:CR27">IF($Q$35="n",CR5-CR5/100*$M$35,CR5-CR5/100*$FF$34)</f>
        <v>-1E-05</v>
      </c>
      <c r="CS18" s="180">
        <f aca="true" t="shared" si="42" ref="CS18:CS27">IF($Q$35="n",CS5+CS5/100*$M$35,CS5+CS5/100*$FF$34)</f>
        <v>1</v>
      </c>
      <c r="CT18" s="29">
        <f>IF($FF$34=1,IF(CV15=0,0,1),1)</f>
        <v>1</v>
      </c>
      <c r="CU18" s="257" t="str">
        <f>"ab 1%"</f>
        <v>ab 1%</v>
      </c>
      <c r="CV18" s="127" t="s">
        <v>65</v>
      </c>
      <c r="CW18" s="179">
        <f aca="true" t="shared" si="43" ref="CW18:CW27">IF($Q$35="n",CW5-CW5/100*$M$35,CW5-CW5/100*$FF$34)</f>
        <v>-1E-05</v>
      </c>
      <c r="CX18" s="180">
        <f aca="true" t="shared" si="44" ref="CX18:CX27">IF($Q$35="n",CX5+CX5/100*$M$35,CX5+CX5/100*$FF$34)</f>
        <v>1</v>
      </c>
      <c r="CY18" s="29">
        <f>IF($FF$34=1,IF(DA15=0,0,1),1)</f>
        <v>1</v>
      </c>
      <c r="CZ18" s="257" t="str">
        <f>"ab 1%"</f>
        <v>ab 1%</v>
      </c>
      <c r="DA18" s="127" t="s">
        <v>65</v>
      </c>
      <c r="DB18" s="179">
        <f aca="true" t="shared" si="45" ref="DB18:DB27">IF($Q$35="n",DB5-DB5/100*$M$35,DB5-DB5/100*$FF$34)</f>
        <v>1.5</v>
      </c>
      <c r="DC18" s="180">
        <f aca="true" t="shared" si="46" ref="DC18:DC27">IF($Q$35="n",DC5+DC5/100*$M$35,DC5+DC5/100*$FF$34)</f>
        <v>6.5</v>
      </c>
      <c r="DD18" s="29">
        <f>IF($FF$34=1,IF(DF15=0,0,1),1)</f>
        <v>1</v>
      </c>
      <c r="DE18" s="257" t="str">
        <f>"ab 1%"</f>
        <v>ab 1%</v>
      </c>
      <c r="DF18" s="127" t="s">
        <v>65</v>
      </c>
      <c r="DG18" s="179">
        <f aca="true" t="shared" si="47" ref="DG18:DG27">IF($Q$35="n",DG5-DG5/100*$M$35,DG5-DG5/100*$FF$34)</f>
        <v>1.5</v>
      </c>
      <c r="DH18" s="180">
        <f aca="true" t="shared" si="48" ref="DH18:DH27">IF($Q$35="n",DH5+DH5/100*$M$35,DH5+DH5/100*$FF$34)</f>
        <v>6.5</v>
      </c>
      <c r="DI18" s="29">
        <f>IF($FF$34=1,IF(DK15=0,0,1),1)</f>
        <v>1</v>
      </c>
      <c r="DJ18" s="257" t="str">
        <f>"ab 1%"</f>
        <v>ab 1%</v>
      </c>
      <c r="DK18" s="127" t="s">
        <v>65</v>
      </c>
      <c r="DL18" s="179">
        <f aca="true" t="shared" si="49" ref="DL18:DL27">IF($Q$35="n",DL5-DL5/100*$M$35,DL5-DL5/100*$FF$34)</f>
        <v>1.5</v>
      </c>
      <c r="DM18" s="180">
        <f aca="true" t="shared" si="50" ref="DM18:DM27">IF($Q$35="n",DM5+DM5/100*$M$35,DM5+DM5/100*$FF$34)</f>
        <v>5</v>
      </c>
      <c r="DN18" s="29">
        <f>IF($FF$34=1,IF(DP15=0,0,1),1)</f>
        <v>1</v>
      </c>
      <c r="DO18" s="257" t="str">
        <f>"ab 1%"</f>
        <v>ab 1%</v>
      </c>
      <c r="DP18" s="127" t="s">
        <v>65</v>
      </c>
      <c r="DQ18" s="179">
        <f aca="true" t="shared" si="51" ref="DQ18:DQ27">IF($Q$35="n",DQ5-DQ5/100*$M$35,DQ5-DQ5/100*$FF$34)</f>
        <v>1.5</v>
      </c>
      <c r="DR18" s="180">
        <f aca="true" t="shared" si="52" ref="DR18:DR27">IF($Q$35="n",DR5+DR5/100*$M$35,DR5+DR5/100*$FF$34)</f>
        <v>5</v>
      </c>
      <c r="DS18" s="29">
        <f>IF($FF$34=1,IF(DU15=0,0,1),1)</f>
        <v>1</v>
      </c>
      <c r="DT18" s="257" t="str">
        <f>"ab 1%"</f>
        <v>ab 1%</v>
      </c>
      <c r="DU18" s="127" t="s">
        <v>65</v>
      </c>
      <c r="DV18" s="179">
        <f aca="true" t="shared" si="53" ref="DV18:DV27">IF($Q$35="n",DV5-DV5/100*$M$35,DV5-DV5/100*$FF$34)</f>
        <v>-1E-05</v>
      </c>
      <c r="DW18" s="180">
        <f aca="true" t="shared" si="54" ref="DW18:DW27">IF($Q$35="n",DW5+DW5/100*$M$35,DW5+DW5/100*$FF$34)</f>
        <v>2</v>
      </c>
      <c r="DX18" s="29">
        <f>IF($FF$34=1,IF(DZ15=0,0,1),1)</f>
        <v>1</v>
      </c>
      <c r="DY18" s="257" t="str">
        <f>"ab 1%"</f>
        <v>ab 1%</v>
      </c>
      <c r="DZ18" s="127" t="s">
        <v>65</v>
      </c>
      <c r="EA18" s="179">
        <f aca="true" t="shared" si="55" ref="EA18:EA27">IF($Q$35="n",EA5-EA5/100*$M$35,EA5-EA5/100*$FF$34)</f>
        <v>-1E-05</v>
      </c>
      <c r="EB18" s="180">
        <f aca="true" t="shared" si="56" ref="EB18:EB27">IF($Q$35="n",EB5+EB5/100*$M$35,EB5+EB5/100*$FF$34)</f>
        <v>2</v>
      </c>
      <c r="EC18" s="29">
        <f>IF($FF$34=1,IF(EE15=0,0,1),1)</f>
        <v>1</v>
      </c>
      <c r="ED18" s="257" t="str">
        <f>"ab 1%"</f>
        <v>ab 1%</v>
      </c>
      <c r="EE18" s="127" t="s">
        <v>65</v>
      </c>
      <c r="EF18" s="179">
        <f aca="true" t="shared" si="57" ref="EF18:EF27">IF($Q$35="n",EF5-EF5/100*$M$35,EF5-EF5/100*$FF$34)</f>
        <v>-1E-05</v>
      </c>
      <c r="EG18" s="180">
        <f aca="true" t="shared" si="58" ref="EG18:EG27">IF($Q$35="n",EG5+EG5/100*$M$35,EG5+EG5/100*$FF$34)</f>
        <v>1</v>
      </c>
      <c r="EH18" s="29">
        <f>IF($FF$34=1,IF(EJ15=0,0,1),1)</f>
        <v>1</v>
      </c>
      <c r="EI18" s="257" t="str">
        <f>"ab 1%"</f>
        <v>ab 1%</v>
      </c>
      <c r="EJ18" s="127" t="s">
        <v>65</v>
      </c>
      <c r="EK18" s="179">
        <f aca="true" t="shared" si="59" ref="EK18:EK27">IF($Q$35="n",EK5-EK5/100*$M$35,EK5-EK5/100*$FF$34)</f>
        <v>-1E-05</v>
      </c>
      <c r="EL18" s="180">
        <f aca="true" t="shared" si="60" ref="EL18:EL27">IF($Q$35="n",EL5+EL5/100*$M$35,EL5+EL5/100*$FF$34)</f>
        <v>1</v>
      </c>
      <c r="EM18" s="29">
        <f>IF($FF$34=1,IF(EO15=0,0,1),1)</f>
        <v>1</v>
      </c>
      <c r="EN18" s="257" t="str">
        <f>"ab 1%"</f>
        <v>ab 1%</v>
      </c>
      <c r="EO18" s="127" t="s">
        <v>65</v>
      </c>
      <c r="EP18" s="179">
        <f aca="true" t="shared" si="61" ref="EP18:EP27">IF($Q$35="n",EP5-EP5/100*$M$35,EP5-EP5/100*$FF$34)</f>
        <v>-1E-05</v>
      </c>
      <c r="EQ18" s="180">
        <f aca="true" t="shared" si="62" ref="EQ18:EQ27">IF($Q$35="n",EQ5+EQ5/100*$M$35,EQ5+EQ5/100*$FF$34)</f>
        <v>1</v>
      </c>
      <c r="ER18" s="29">
        <f>IF($FF$34=1,IF(ET15=0,0,1),1)</f>
        <v>1</v>
      </c>
      <c r="ES18" s="257" t="str">
        <f>"ab 1%"</f>
        <v>ab 1%</v>
      </c>
      <c r="ET18" s="127" t="s">
        <v>65</v>
      </c>
      <c r="EU18" s="179">
        <f aca="true" t="shared" si="63" ref="EU18:EU27">IF($Q$35="n",EU5-EU5/100*$M$35,EU5-EU5/100*$FF$34)</f>
        <v>-1E-05</v>
      </c>
      <c r="EV18" s="180">
        <f aca="true" t="shared" si="64" ref="EV18:EV27">IF($Q$35="n",EV5+EV5/100*$M$35,EV5+EV5/100*$FF$34)</f>
        <v>1</v>
      </c>
      <c r="EW18" s="29">
        <f>IF($FF$34=1,IF(EY15=0,0,1),1)</f>
        <v>1</v>
      </c>
      <c r="EX18" s="257" t="str">
        <f>"ab 1%"</f>
        <v>ab 1%</v>
      </c>
      <c r="EY18" s="127" t="s">
        <v>65</v>
      </c>
      <c r="EZ18" s="179">
        <f aca="true" t="shared" si="65" ref="EZ18:EZ27">IF($Q$35="n",EZ5-EZ5/100*$M$35,EZ5-EZ5/100*$FF$34)</f>
        <v>-1E-05</v>
      </c>
      <c r="FA18" s="180">
        <f aca="true" t="shared" si="66" ref="FA18:FA27">IF($Q$35="n",FA5+FA5/100*$M$35,FA5+FA5/100*$FF$34)</f>
        <v>1</v>
      </c>
      <c r="FB18" s="29">
        <f>IF($FF$34=1,IF(FD15=0,0,1),1)</f>
        <v>1</v>
      </c>
      <c r="FC18" s="257" t="str">
        <f>"ab 1%"</f>
        <v>ab 1%</v>
      </c>
      <c r="FD18" s="127" t="s">
        <v>65</v>
      </c>
      <c r="FE18" s="179">
        <f aca="true" t="shared" si="67" ref="FE18:FE27">IF($Q$35="n",FE5-FE5/100*$M$35,FE5-FE5/100*$FF$34)</f>
        <v>-1E-05</v>
      </c>
      <c r="FF18" s="180">
        <f aca="true" t="shared" si="68" ref="FF18:FF27">IF($Q$35="n",FF5+FF5/100*$M$35,FF5+FF5/100*$FF$34)</f>
        <v>1</v>
      </c>
      <c r="FG18" s="29">
        <f>IF($FF$34=1,IF(FI15=0,0,1),1)</f>
        <v>1</v>
      </c>
      <c r="FH18" s="257" t="str">
        <f>"ab 1%"</f>
        <v>ab 1%</v>
      </c>
      <c r="FI18" s="127" t="s">
        <v>65</v>
      </c>
      <c r="FJ18" s="179">
        <f aca="true" t="shared" si="69" ref="FJ18:FJ27">IF($Q$35="n",FJ5-FJ5/100*$M$35,FJ5-FJ5/100*$FF$34)</f>
        <v>-1E-05</v>
      </c>
      <c r="FK18" s="180">
        <f aca="true" t="shared" si="70" ref="FK18:FK27">IF($Q$35="n",FK5+FK5/100*$M$35,FK5+FK5/100*$FF$34)</f>
        <v>1</v>
      </c>
      <c r="FL18" s="29">
        <f>IF($FF$34=1,IF(FN15=0,0,1),1)</f>
        <v>1</v>
      </c>
      <c r="FM18" s="257" t="str">
        <f>"ab 1%"</f>
        <v>ab 1%</v>
      </c>
      <c r="FN18" s="127" t="s">
        <v>65</v>
      </c>
      <c r="FO18" s="179">
        <f aca="true" t="shared" si="71" ref="FO18:FO27">IF($Q$35="n",FO5-FO5/100*$M$35,FO5-FO5/100*$FF$34)</f>
        <v>-1E-05</v>
      </c>
      <c r="FP18" s="180">
        <f aca="true" t="shared" si="72" ref="FP18:FP27">IF($Q$35="n",FP5+FP5/100*$M$35,FP5+FP5/100*$FF$34)</f>
        <v>1</v>
      </c>
      <c r="FQ18" s="29">
        <f>IF($FF$34=1,IF(FS15=0,0,1),1)</f>
        <v>1</v>
      </c>
      <c r="FR18" s="257" t="str">
        <f>"ab 1%"</f>
        <v>ab 1%</v>
      </c>
      <c r="FS18" s="127" t="s">
        <v>65</v>
      </c>
      <c r="FT18" s="179">
        <f aca="true" t="shared" si="73" ref="FT18:FT27">IF($Q$35="n",FT5-FT5/100*$M$35,FT5-FT5/100*$FF$34)</f>
        <v>-1E-05</v>
      </c>
      <c r="FU18" s="180">
        <f aca="true" t="shared" si="74" ref="FU18:FU27">IF($Q$35="n",FU5+FU5/100*$M$35,FU5+FU5/100*$FF$34)</f>
        <v>1</v>
      </c>
      <c r="FV18" s="29">
        <f>IF($FF$34=1,IF(FX15=0,0,1),1)</f>
        <v>1</v>
      </c>
      <c r="FW18" s="257" t="str">
        <f>"ab 1%"</f>
        <v>ab 1%</v>
      </c>
      <c r="FX18" s="127" t="s">
        <v>65</v>
      </c>
      <c r="FY18" s="179">
        <f aca="true" t="shared" si="75" ref="FY18:FY27">IF($Q$35="n",FY5-FY5/100*$M$35,FY5-FY5/100*$FF$34)</f>
        <v>-1E-05</v>
      </c>
      <c r="FZ18" s="180">
        <f aca="true" t="shared" si="76" ref="FZ18:FZ27">IF($Q$35="n",FZ5+FZ5/100*$M$35,FZ5+FZ5/100*$FF$34)</f>
        <v>3.5</v>
      </c>
      <c r="GA18" s="29">
        <f>IF($FF$34=1,IF(GC15=0,0,1),1)</f>
        <v>1</v>
      </c>
      <c r="GB18" s="257" t="str">
        <f>"ab 1%"</f>
        <v>ab 1%</v>
      </c>
      <c r="GC18" s="127" t="s">
        <v>65</v>
      </c>
      <c r="GD18" s="179">
        <f aca="true" t="shared" si="77" ref="GD18:GD27">IF($Q$35="n",GD5-GD5/100*$M$35,GD5-GD5/100*$FF$34)</f>
        <v>-1E-05</v>
      </c>
      <c r="GE18" s="180">
        <f aca="true" t="shared" si="78" ref="GE18:GE27">IF($Q$35="n",GE5+GE5/100*$M$35,GE5+GE5/100*$FF$34)</f>
        <v>2.5</v>
      </c>
      <c r="GF18" s="29">
        <f>IF($FF$34=1,IF(GH15=0,0,1),1)</f>
        <v>1</v>
      </c>
      <c r="GG18" s="257" t="str">
        <f>"ab 1%"</f>
        <v>ab 1%</v>
      </c>
      <c r="GH18" s="127" t="s">
        <v>65</v>
      </c>
      <c r="GI18" s="179">
        <f aca="true" t="shared" si="79" ref="GI18:GI27">IF($Q$35="n",GI5-GI5/100*$M$35,GI5-GI5/100*$FF$34)</f>
        <v>-1E-05</v>
      </c>
      <c r="GJ18" s="180">
        <f aca="true" t="shared" si="80" ref="GJ18:GJ27">IF($Q$35="n",GJ5+GJ5/100*$M$35,GJ5+GJ5/100*$FF$34)</f>
        <v>2.5</v>
      </c>
      <c r="GK18" s="29">
        <f>IF($FF$34=1,IF(GM15=0,0,1),1)</f>
        <v>1</v>
      </c>
      <c r="GL18" s="257" t="str">
        <f>"ab 1%"</f>
        <v>ab 1%</v>
      </c>
      <c r="GM18" s="127" t="s">
        <v>65</v>
      </c>
      <c r="GN18" s="179">
        <f aca="true" t="shared" si="81" ref="GN18:GN27">IF($Q$35="n",GN5-GN5/100*$M$35,GN5-GN5/100*$FF$34)</f>
        <v>-1E-05</v>
      </c>
      <c r="GO18" s="180">
        <f aca="true" t="shared" si="82" ref="GO18:GO27">IF($Q$35="n",GO5+GO5/100*$M$35,GO5+GO5/100*$FF$34)</f>
        <v>2.5</v>
      </c>
      <c r="GP18" s="29">
        <f>IF($FF$34=1,IF(GR15=0,0,1),1)</f>
        <v>1</v>
      </c>
      <c r="GQ18" s="257" t="str">
        <f>"ab 1%"</f>
        <v>ab 1%</v>
      </c>
      <c r="GR18" s="127" t="s">
        <v>65</v>
      </c>
      <c r="GS18" s="179">
        <f aca="true" t="shared" si="83" ref="GS18:GS27">IF($Q$35="n",GS5-GS5/100*$M$35,GS5-GS5/100*$FF$34)</f>
        <v>-1E-05</v>
      </c>
      <c r="GT18" s="180">
        <f aca="true" t="shared" si="84" ref="GT18:GT27">IF($Q$35="n",GT5+GT5/100*$M$35,GT5+GT5/100*$FF$34)</f>
        <v>1</v>
      </c>
      <c r="GU18" s="29">
        <f>IF($FF$34=1,IF(GW15=0,0,1),1)</f>
        <v>1</v>
      </c>
      <c r="GV18" s="257" t="str">
        <f>"ab 1%"</f>
        <v>ab 1%</v>
      </c>
      <c r="GW18" s="127" t="s">
        <v>65</v>
      </c>
      <c r="GX18" s="179">
        <f aca="true" t="shared" si="85" ref="GX18:GX27">IF($Q$35="n",GX5-GX5/100*$M$35,GX5-GX5/100*$FF$34)</f>
        <v>1</v>
      </c>
      <c r="GY18" s="180">
        <f aca="true" t="shared" si="86" ref="GY18:GY27">IF($Q$35="n",GY5+GY5/100*$M$35,GY5+GY5/100*$FF$34)</f>
        <v>4</v>
      </c>
      <c r="GZ18" s="29">
        <f>IF($FF$34=1,IF(HB15=0,0,1),1)</f>
        <v>1</v>
      </c>
      <c r="HA18" s="257" t="str">
        <f>"ab 1%"</f>
        <v>ab 1%</v>
      </c>
      <c r="HB18" s="127" t="s">
        <v>65</v>
      </c>
      <c r="HC18" s="179">
        <f aca="true" t="shared" si="87" ref="HC18:HC27">IF($Q$35="n",HC5-HC5/100*$M$35,HC5-HC5/100*$FF$34)</f>
        <v>1</v>
      </c>
      <c r="HD18" s="180">
        <f aca="true" t="shared" si="88" ref="HD18:HD27">IF($Q$35="n",HD5+HD5/100*$M$35,HD5+HD5/100*$FF$34)</f>
        <v>4</v>
      </c>
      <c r="HE18" s="29">
        <f>IF($FF$34=1,IF(HG15=0,0,1),1)</f>
        <v>1</v>
      </c>
      <c r="HF18" s="257" t="str">
        <f>"ab 1%"</f>
        <v>ab 1%</v>
      </c>
      <c r="HG18" s="127" t="s">
        <v>65</v>
      </c>
      <c r="HH18" s="179">
        <f aca="true" t="shared" si="89" ref="HH18:HH27">IF($Q$35="n",HH5-HH5/100*$M$35,HH5-HH5/100*$FF$34)</f>
        <v>0.5</v>
      </c>
      <c r="HI18" s="180">
        <f aca="true" t="shared" si="90" ref="HI18:HI27">IF($Q$35="n",HI5+HI5/100*$M$35,HI5+HI5/100*$FF$34)</f>
        <v>2</v>
      </c>
      <c r="HJ18" s="29">
        <f>IF($FF$34=1,IF(HL15=0,0,1),1)</f>
        <v>1</v>
      </c>
      <c r="HK18" s="257" t="str">
        <f>"ab 1%"</f>
        <v>ab 1%</v>
      </c>
      <c r="HL18" s="127" t="s">
        <v>65</v>
      </c>
      <c r="HM18" s="179">
        <f aca="true" t="shared" si="91" ref="HM18:HM27">IF($Q$35="n",HM5-HM5/100*$M$35,HM5-HM5/100*$FF$34)</f>
        <v>-1E-05</v>
      </c>
      <c r="HN18" s="180">
        <f aca="true" t="shared" si="92" ref="HN18:HN27">IF($Q$35="n",HN5+HN5/100*$M$35,HN5+HN5/100*$FF$34)</f>
        <v>1</v>
      </c>
      <c r="HO18" s="29">
        <f>IF($FF$34=1,IF(HQ15=0,0,1),1)</f>
        <v>1</v>
      </c>
      <c r="HP18" s="257" t="str">
        <f>"ab 1%"</f>
        <v>ab 1%</v>
      </c>
      <c r="HQ18" s="127" t="s">
        <v>65</v>
      </c>
      <c r="HR18" s="179">
        <f aca="true" t="shared" si="93" ref="HR18:HR27">IF($Q$35="n",HR5-HR5/100*$M$35,HR5-HR5/100*$FF$34)</f>
        <v>-1E-05</v>
      </c>
      <c r="HS18" s="180">
        <f aca="true" t="shared" si="94" ref="HS18:HS27">IF($Q$35="n",HS5+HS5/100*$M$35,HS5+HS5/100*$FF$34)</f>
        <v>1</v>
      </c>
      <c r="HT18" s="29">
        <f>IF($FF$34=1,IF(HV15=0,0,1),1)</f>
        <v>1</v>
      </c>
      <c r="HU18" s="257" t="str">
        <f>"ab 1%"</f>
        <v>ab 1%</v>
      </c>
      <c r="HV18" s="127" t="s">
        <v>65</v>
      </c>
      <c r="HW18" s="179">
        <f aca="true" t="shared" si="95" ref="HW18:HW27">IF($Q$35="n",HW5-HW5/100*$M$35,HW5-HW5/100*$FF$34)</f>
        <v>-1E-05</v>
      </c>
      <c r="HX18" s="180">
        <f aca="true" t="shared" si="96" ref="HX18:HX27">IF($Q$35="n",HX5+HX5/100*$M$35,HX5+HX5/100*$FF$34)</f>
        <v>1</v>
      </c>
      <c r="HY18" s="29">
        <f>IF($FF$34=1,IF(IA15=0,0,1),1)</f>
        <v>1</v>
      </c>
      <c r="HZ18" s="257" t="str">
        <f>"ab 1%"</f>
        <v>ab 1%</v>
      </c>
      <c r="IA18" s="127" t="s">
        <v>65</v>
      </c>
      <c r="IB18" s="179">
        <f aca="true" t="shared" si="97" ref="IB18:IB27">IF($Q$35="n",IB5-IB5/100*$M$35,IB5-IB5/100*$FF$34)</f>
        <v>-1E-05</v>
      </c>
      <c r="IC18" s="180">
        <f aca="true" t="shared" si="98" ref="IC18:IC27">IF($Q$35="n",IC5+IC5/100*$M$35,IC5+IC5/100*$FF$34)</f>
        <v>1</v>
      </c>
      <c r="ID18" s="29">
        <f>IF($FF$34=1,IF(IF15=0,0,1),1)</f>
        <v>1</v>
      </c>
      <c r="IE18" s="257" t="str">
        <f>"ab 1%"</f>
        <v>ab 1%</v>
      </c>
      <c r="IF18" s="127" t="s">
        <v>65</v>
      </c>
      <c r="IG18" s="179">
        <f aca="true" t="shared" si="99" ref="IG18:IG27">IF($Q$35="n",IG5-IG5/100*$M$35,IG5-IG5/100*$FF$34)</f>
        <v>-1E-05</v>
      </c>
      <c r="IH18" s="180">
        <f aca="true" t="shared" si="100" ref="IH18:IH27">IF($Q$35="n",IH5+IH5/100*$M$35,IH5+IH5/100*$FF$34)</f>
        <v>1.5</v>
      </c>
      <c r="II18" s="29">
        <f>IF($FF$34=1,IF(IK15=0,0,1),1)</f>
        <v>1</v>
      </c>
      <c r="IJ18" s="257" t="str">
        <f>"ab 1%"</f>
        <v>ab 1%</v>
      </c>
      <c r="IK18" s="127" t="s">
        <v>65</v>
      </c>
      <c r="IL18" s="61"/>
    </row>
    <row r="19" spans="1:246" ht="12" customHeight="1">
      <c r="A19" s="60"/>
      <c r="B19" s="6" t="s">
        <v>101</v>
      </c>
      <c r="C19" s="172">
        <v>25.45</v>
      </c>
      <c r="D19" s="3"/>
      <c r="E19" s="126" t="s">
        <v>102</v>
      </c>
      <c r="F19" s="100"/>
      <c r="G19"/>
      <c r="H19" s="27" t="s">
        <v>99</v>
      </c>
      <c r="I19" s="13"/>
      <c r="J19" s="14"/>
      <c r="L19" s="10" t="str">
        <f>IF(N16="ja","-",IF(N16="-","-","(Si/Mg) Chrysotil, Antigorit, Olivin"))</f>
        <v>-</v>
      </c>
      <c r="M19" s="3"/>
      <c r="N19" s="6"/>
      <c r="P19" s="27" t="s">
        <v>99</v>
      </c>
      <c r="Q19" s="13"/>
      <c r="R19" s="14"/>
      <c r="T19" s="27" t="s">
        <v>99</v>
      </c>
      <c r="U19" s="13"/>
      <c r="V19" s="14"/>
      <c r="X19" s="60" t="s">
        <v>103</v>
      </c>
      <c r="Y19" s="128" t="s">
        <v>67</v>
      </c>
      <c r="Z19" s="181">
        <f t="shared" si="13"/>
        <v>24</v>
      </c>
      <c r="AA19" s="177">
        <f t="shared" si="14"/>
        <v>33</v>
      </c>
      <c r="AB19" s="29">
        <f>IF($FF$34=2,IF(AD15=0,0,1),1)</f>
        <v>1</v>
      </c>
      <c r="AC19" s="257" t="str">
        <f>"ab 2%"</f>
        <v>ab 2%</v>
      </c>
      <c r="AD19" s="128" t="s">
        <v>67</v>
      </c>
      <c r="AE19" s="181">
        <f t="shared" si="15"/>
        <v>18</v>
      </c>
      <c r="AF19" s="177">
        <f t="shared" si="16"/>
        <v>26</v>
      </c>
      <c r="AG19" s="29">
        <f>IF($FF$34=2,IF(AI15=0,0,1),1)</f>
        <v>1</v>
      </c>
      <c r="AH19" s="257" t="str">
        <f>"ab 2%"</f>
        <v>ab 2%</v>
      </c>
      <c r="AI19" s="128" t="s">
        <v>67</v>
      </c>
      <c r="AJ19" s="181">
        <f t="shared" si="17"/>
        <v>8</v>
      </c>
      <c r="AK19" s="177">
        <f t="shared" si="18"/>
        <v>14</v>
      </c>
      <c r="AL19" s="29">
        <f>IF($FF$34=2,IF(AN15=0,0,1),1)</f>
        <v>1</v>
      </c>
      <c r="AM19" s="257" t="str">
        <f>"ab 2%"</f>
        <v>ab 2%</v>
      </c>
      <c r="AN19" s="128" t="s">
        <v>67</v>
      </c>
      <c r="AO19" s="181">
        <f t="shared" si="19"/>
        <v>6.5</v>
      </c>
      <c r="AP19" s="177">
        <f t="shared" si="20"/>
        <v>12.5</v>
      </c>
      <c r="AQ19" s="29">
        <f>IF($FF$34=2,IF(AS15=0,0,1),1)</f>
        <v>1</v>
      </c>
      <c r="AR19" s="257" t="str">
        <f>"ab 2%"</f>
        <v>ab 2%</v>
      </c>
      <c r="AS19" s="128" t="s">
        <v>67</v>
      </c>
      <c r="AT19" s="181">
        <f t="shared" si="21"/>
        <v>6.5</v>
      </c>
      <c r="AU19" s="177">
        <f t="shared" si="22"/>
        <v>12.5</v>
      </c>
      <c r="AV19" s="29">
        <f>IF($FF$34=2,IF(AX15=0,0,1),1)</f>
        <v>1</v>
      </c>
      <c r="AW19" s="257" t="str">
        <f>"ab 2%"</f>
        <v>ab 2%</v>
      </c>
      <c r="AX19" s="128" t="s">
        <v>67</v>
      </c>
      <c r="AY19" s="181">
        <f t="shared" si="23"/>
        <v>2</v>
      </c>
      <c r="AZ19" s="177">
        <f t="shared" si="24"/>
        <v>6.5</v>
      </c>
      <c r="BA19" s="29">
        <f>IF($FF$34=2,IF(BC15=0,0,1),1)</f>
        <v>1</v>
      </c>
      <c r="BB19" s="257" t="str">
        <f>"ab 2%"</f>
        <v>ab 2%</v>
      </c>
      <c r="BC19" s="128" t="s">
        <v>67</v>
      </c>
      <c r="BD19" s="181">
        <f t="shared" si="25"/>
        <v>5.5</v>
      </c>
      <c r="BE19" s="177">
        <f t="shared" si="26"/>
        <v>11.5</v>
      </c>
      <c r="BF19" s="29">
        <f>IF($FF$34=2,IF(BH15=0,0,1),1)</f>
        <v>1</v>
      </c>
      <c r="BG19" s="257" t="str">
        <f>"ab 2%"</f>
        <v>ab 2%</v>
      </c>
      <c r="BH19" s="128" t="s">
        <v>67</v>
      </c>
      <c r="BI19" s="181">
        <f t="shared" si="27"/>
        <v>4.5</v>
      </c>
      <c r="BJ19" s="177">
        <f t="shared" si="28"/>
        <v>10.5</v>
      </c>
      <c r="BK19" s="29">
        <f>IF($FF$34=2,IF(BM15=0,0,1),1)</f>
        <v>1</v>
      </c>
      <c r="BL19" s="257" t="str">
        <f>"ab 2%"</f>
        <v>ab 2%</v>
      </c>
      <c r="BM19" s="128" t="s">
        <v>67</v>
      </c>
      <c r="BN19" s="181">
        <f t="shared" si="29"/>
        <v>6</v>
      </c>
      <c r="BO19" s="177">
        <f t="shared" si="30"/>
        <v>11.5</v>
      </c>
      <c r="BP19" s="29">
        <f>IF($FF$34=2,IF(BR15=0,0,1),1)</f>
        <v>1</v>
      </c>
      <c r="BQ19" s="257" t="str">
        <f>"ab 2%"</f>
        <v>ab 2%</v>
      </c>
      <c r="BR19" s="128" t="s">
        <v>67</v>
      </c>
      <c r="BS19" s="181">
        <f t="shared" si="31"/>
        <v>2</v>
      </c>
      <c r="BT19" s="177">
        <f t="shared" si="32"/>
        <v>6.5</v>
      </c>
      <c r="BU19" s="29">
        <f>IF($FF$34=2,IF(BW15=0,0,1),1)</f>
        <v>1</v>
      </c>
      <c r="BV19" s="257" t="str">
        <f>"ab 2%"</f>
        <v>ab 2%</v>
      </c>
      <c r="BW19" s="128" t="s">
        <v>67</v>
      </c>
      <c r="BX19" s="181">
        <f t="shared" si="33"/>
        <v>9</v>
      </c>
      <c r="BY19" s="177">
        <f t="shared" si="34"/>
        <v>15</v>
      </c>
      <c r="BZ19" s="29">
        <f>IF($FF$34=2,IF(CB15=0,0,1),1)</f>
        <v>1</v>
      </c>
      <c r="CA19" s="257" t="str">
        <f>"ab 2%"</f>
        <v>ab 2%</v>
      </c>
      <c r="CB19" s="128" t="s">
        <v>67</v>
      </c>
      <c r="CC19" s="181">
        <f t="shared" si="35"/>
        <v>4.5</v>
      </c>
      <c r="CD19" s="177">
        <f t="shared" si="36"/>
        <v>10.5</v>
      </c>
      <c r="CE19" s="29">
        <f>IF($FF$34=2,IF(CG15=0,0,1),1)</f>
        <v>1</v>
      </c>
      <c r="CF19" s="257" t="str">
        <f>"ab 2%"</f>
        <v>ab 2%</v>
      </c>
      <c r="CG19" s="128" t="s">
        <v>67</v>
      </c>
      <c r="CH19" s="181">
        <f t="shared" si="37"/>
        <v>21</v>
      </c>
      <c r="CI19" s="177">
        <f t="shared" si="38"/>
        <v>27</v>
      </c>
      <c r="CJ19" s="29">
        <f>IF($FF$34=2,IF(CL15=0,0,1),1)</f>
        <v>1</v>
      </c>
      <c r="CK19" s="257" t="str">
        <f>"ab 2%"</f>
        <v>ab 2%</v>
      </c>
      <c r="CL19" s="128" t="s">
        <v>67</v>
      </c>
      <c r="CM19" s="181">
        <f t="shared" si="39"/>
        <v>15</v>
      </c>
      <c r="CN19" s="177">
        <f t="shared" si="40"/>
        <v>21.5</v>
      </c>
      <c r="CO19" s="29">
        <f>IF($FF$34=2,IF(CQ15=0,0,1),1)</f>
        <v>1</v>
      </c>
      <c r="CP19" s="257" t="str">
        <f>"ab 2%"</f>
        <v>ab 2%</v>
      </c>
      <c r="CQ19" s="128" t="s">
        <v>67</v>
      </c>
      <c r="CR19" s="181">
        <f t="shared" si="41"/>
        <v>10</v>
      </c>
      <c r="CS19" s="177">
        <f t="shared" si="42"/>
        <v>16</v>
      </c>
      <c r="CT19" s="29">
        <f>IF($FF$34=2,IF(CV15=0,0,1),1)</f>
        <v>1</v>
      </c>
      <c r="CU19" s="257" t="str">
        <f>"ab 2%"</f>
        <v>ab 2%</v>
      </c>
      <c r="CV19" s="128" t="s">
        <v>67</v>
      </c>
      <c r="CW19" s="181">
        <f t="shared" si="43"/>
        <v>5</v>
      </c>
      <c r="CX19" s="177">
        <f t="shared" si="44"/>
        <v>11</v>
      </c>
      <c r="CY19" s="29">
        <f>IF($FF$34=2,IF(DA15=0,0,1),1)</f>
        <v>1</v>
      </c>
      <c r="CZ19" s="257" t="str">
        <f>"ab 2%"</f>
        <v>ab 2%</v>
      </c>
      <c r="DA19" s="128" t="s">
        <v>67</v>
      </c>
      <c r="DB19" s="181">
        <f t="shared" si="45"/>
        <v>5.5</v>
      </c>
      <c r="DC19" s="177">
        <f t="shared" si="46"/>
        <v>11.5</v>
      </c>
      <c r="DD19" s="29">
        <f>IF($FF$34=2,IF(DF15=0,0,1),1)</f>
        <v>1</v>
      </c>
      <c r="DE19" s="257" t="str">
        <f>"ab 2%"</f>
        <v>ab 2%</v>
      </c>
      <c r="DF19" s="128" t="s">
        <v>67</v>
      </c>
      <c r="DG19" s="181">
        <f t="shared" si="47"/>
        <v>5</v>
      </c>
      <c r="DH19" s="177">
        <f t="shared" si="48"/>
        <v>11</v>
      </c>
      <c r="DI19" s="29">
        <f>IF($FF$34=2,IF(DK15=0,0,1),1)</f>
        <v>1</v>
      </c>
      <c r="DJ19" s="257" t="str">
        <f>"ab 2%"</f>
        <v>ab 2%</v>
      </c>
      <c r="DK19" s="128" t="s">
        <v>67</v>
      </c>
      <c r="DL19" s="181">
        <f t="shared" si="49"/>
        <v>7</v>
      </c>
      <c r="DM19" s="177">
        <f t="shared" si="50"/>
        <v>13</v>
      </c>
      <c r="DN19" s="29">
        <f>IF($FF$34=2,IF(DP15=0,0,1),1)</f>
        <v>1</v>
      </c>
      <c r="DO19" s="257" t="str">
        <f>"ab 2%"</f>
        <v>ab 2%</v>
      </c>
      <c r="DP19" s="128" t="s">
        <v>67</v>
      </c>
      <c r="DQ19" s="181">
        <f t="shared" si="51"/>
        <v>5</v>
      </c>
      <c r="DR19" s="177">
        <f t="shared" si="52"/>
        <v>11</v>
      </c>
      <c r="DS19" s="29">
        <f>IF($FF$34=2,IF(DU15=0,0,1),1)</f>
        <v>1</v>
      </c>
      <c r="DT19" s="257" t="str">
        <f>"ab 2%"</f>
        <v>ab 2%</v>
      </c>
      <c r="DU19" s="128" t="s">
        <v>67</v>
      </c>
      <c r="DV19" s="181">
        <f t="shared" si="53"/>
        <v>3</v>
      </c>
      <c r="DW19" s="177">
        <f t="shared" si="54"/>
        <v>9</v>
      </c>
      <c r="DX19" s="29">
        <f>IF($FF$34=2,IF(DZ15=0,0,1),1)</f>
        <v>1</v>
      </c>
      <c r="DY19" s="257" t="str">
        <f>"ab 2%"</f>
        <v>ab 2%</v>
      </c>
      <c r="DZ19" s="128" t="s">
        <v>67</v>
      </c>
      <c r="EA19" s="181">
        <f t="shared" si="55"/>
        <v>2.5</v>
      </c>
      <c r="EB19" s="177">
        <f t="shared" si="56"/>
        <v>7</v>
      </c>
      <c r="EC19" s="29">
        <f>IF($FF$34=2,IF(EE15=0,0,1),1)</f>
        <v>1</v>
      </c>
      <c r="ED19" s="257" t="str">
        <f>"ab 2%"</f>
        <v>ab 2%</v>
      </c>
      <c r="EE19" s="128" t="s">
        <v>67</v>
      </c>
      <c r="EF19" s="181">
        <f t="shared" si="57"/>
        <v>15.5</v>
      </c>
      <c r="EG19" s="177">
        <f t="shared" si="58"/>
        <v>24.5</v>
      </c>
      <c r="EH19" s="29">
        <f>IF($FF$34=2,IF(EJ15=0,0,1),1)</f>
        <v>1</v>
      </c>
      <c r="EI19" s="257" t="str">
        <f>"ab 2%"</f>
        <v>ab 2%</v>
      </c>
      <c r="EJ19" s="128" t="s">
        <v>67</v>
      </c>
      <c r="EK19" s="181">
        <f t="shared" si="59"/>
        <v>15.5</v>
      </c>
      <c r="EL19" s="177">
        <f t="shared" si="60"/>
        <v>25.5</v>
      </c>
      <c r="EM19" s="29">
        <f>IF($FF$34=2,IF(EO15=0,0,1),1)</f>
        <v>1</v>
      </c>
      <c r="EN19" s="257" t="str">
        <f>"ab 2%"</f>
        <v>ab 2%</v>
      </c>
      <c r="EO19" s="128" t="s">
        <v>67</v>
      </c>
      <c r="EP19" s="181">
        <f t="shared" si="61"/>
        <v>16</v>
      </c>
      <c r="EQ19" s="177">
        <f t="shared" si="62"/>
        <v>26.5</v>
      </c>
      <c r="ER19" s="29">
        <f>IF($FF$34=2,IF(ET15=0,0,1),1)</f>
        <v>1</v>
      </c>
      <c r="ES19" s="257" t="str">
        <f>"ab 2%"</f>
        <v>ab 2%</v>
      </c>
      <c r="ET19" s="128" t="s">
        <v>67</v>
      </c>
      <c r="EU19" s="181">
        <f t="shared" si="63"/>
        <v>4</v>
      </c>
      <c r="EV19" s="177">
        <f t="shared" si="64"/>
        <v>18.5</v>
      </c>
      <c r="EW19" s="29">
        <f>IF($FF$34=2,IF(EY15=0,0,1),1)</f>
        <v>1</v>
      </c>
      <c r="EX19" s="257" t="str">
        <f>"ab 2%"</f>
        <v>ab 2%</v>
      </c>
      <c r="EY19" s="128" t="s">
        <v>67</v>
      </c>
      <c r="EZ19" s="181">
        <f t="shared" si="65"/>
        <v>4</v>
      </c>
      <c r="FA19" s="177">
        <f t="shared" si="66"/>
        <v>19</v>
      </c>
      <c r="FB19" s="29">
        <f>IF($FF$34=2,IF(FD15=0,0,1),1)</f>
        <v>1</v>
      </c>
      <c r="FC19" s="257" t="str">
        <f>"ab 2%"</f>
        <v>ab 2%</v>
      </c>
      <c r="FD19" s="128" t="s">
        <v>67</v>
      </c>
      <c r="FE19" s="181">
        <f t="shared" si="67"/>
        <v>5</v>
      </c>
      <c r="FF19" s="177">
        <f t="shared" si="68"/>
        <v>20</v>
      </c>
      <c r="FG19" s="29">
        <f>IF($FF$34=2,IF(FI15=0,0,1),1)</f>
        <v>1</v>
      </c>
      <c r="FH19" s="257" t="str">
        <f>"ab 2%"</f>
        <v>ab 2%</v>
      </c>
      <c r="FI19" s="128" t="s">
        <v>67</v>
      </c>
      <c r="FJ19" s="181">
        <f t="shared" si="69"/>
        <v>-1E-05</v>
      </c>
      <c r="FK19" s="177">
        <f t="shared" si="70"/>
        <v>6.5</v>
      </c>
      <c r="FL19" s="29">
        <f>IF($FF$34=2,IF(FN15=0,0,1),1)</f>
        <v>1</v>
      </c>
      <c r="FM19" s="257" t="str">
        <f>"ab 2%"</f>
        <v>ab 2%</v>
      </c>
      <c r="FN19" s="128" t="s">
        <v>67</v>
      </c>
      <c r="FO19" s="181">
        <f t="shared" si="71"/>
        <v>-1E-05</v>
      </c>
      <c r="FP19" s="177">
        <f t="shared" si="72"/>
        <v>8</v>
      </c>
      <c r="FQ19" s="29">
        <f>IF($FF$34=2,IF(FS15=0,0,1),1)</f>
        <v>1</v>
      </c>
      <c r="FR19" s="257" t="str">
        <f>"ab 2%"</f>
        <v>ab 2%</v>
      </c>
      <c r="FS19" s="128" t="s">
        <v>67</v>
      </c>
      <c r="FT19" s="181">
        <f t="shared" si="73"/>
        <v>17</v>
      </c>
      <c r="FU19" s="177">
        <f t="shared" si="74"/>
        <v>23</v>
      </c>
      <c r="FV19" s="29">
        <f>IF($FF$34=2,IF(FX15=0,0,1),1)</f>
        <v>1</v>
      </c>
      <c r="FW19" s="257" t="str">
        <f>"ab 2%"</f>
        <v>ab 2%</v>
      </c>
      <c r="FX19" s="128" t="s">
        <v>67</v>
      </c>
      <c r="FY19" s="181">
        <f t="shared" si="75"/>
        <v>-1E-05</v>
      </c>
      <c r="FZ19" s="177">
        <f t="shared" si="76"/>
        <v>1</v>
      </c>
      <c r="GA19" s="29">
        <f>IF($FF$34=2,IF(GC15=0,0,1),1)</f>
        <v>1</v>
      </c>
      <c r="GB19" s="257" t="str">
        <f>"ab 2%"</f>
        <v>ab 2%</v>
      </c>
      <c r="GC19" s="128" t="s">
        <v>67</v>
      </c>
      <c r="GD19" s="181">
        <f t="shared" si="77"/>
        <v>15</v>
      </c>
      <c r="GE19" s="177">
        <f t="shared" si="78"/>
        <v>21.5</v>
      </c>
      <c r="GF19" s="29">
        <f>IF($FF$34=2,IF(GH15=0,0,1),1)</f>
        <v>1</v>
      </c>
      <c r="GG19" s="257" t="str">
        <f>"ab 2%"</f>
        <v>ab 2%</v>
      </c>
      <c r="GH19" s="128" t="s">
        <v>67</v>
      </c>
      <c r="GI19" s="181">
        <f t="shared" si="79"/>
        <v>11</v>
      </c>
      <c r="GJ19" s="177">
        <f t="shared" si="80"/>
        <v>16</v>
      </c>
      <c r="GK19" s="29">
        <f>IF($FF$34=2,IF(GM15=0,0,1),1)</f>
        <v>1</v>
      </c>
      <c r="GL19" s="257" t="str">
        <f>"ab 2%"</f>
        <v>ab 2%</v>
      </c>
      <c r="GM19" s="128" t="s">
        <v>67</v>
      </c>
      <c r="GN19" s="181">
        <f t="shared" si="81"/>
        <v>5</v>
      </c>
      <c r="GO19" s="177">
        <f t="shared" si="82"/>
        <v>11.5</v>
      </c>
      <c r="GP19" s="29">
        <f>IF($FF$34=2,IF(GR15=0,0,1),1)</f>
        <v>1</v>
      </c>
      <c r="GQ19" s="257" t="str">
        <f>"ab 2%"</f>
        <v>ab 2%</v>
      </c>
      <c r="GR19" s="128" t="s">
        <v>67</v>
      </c>
      <c r="GS19" s="181">
        <f t="shared" si="83"/>
        <v>13</v>
      </c>
      <c r="GT19" s="177">
        <f t="shared" si="84"/>
        <v>20</v>
      </c>
      <c r="GU19" s="29">
        <f>IF($FF$34=2,IF(GW15=0,0,1),1)</f>
        <v>1</v>
      </c>
      <c r="GV19" s="257" t="str">
        <f>"ab 2%"</f>
        <v>ab 2%</v>
      </c>
      <c r="GW19" s="128" t="s">
        <v>67</v>
      </c>
      <c r="GX19" s="181">
        <f t="shared" si="85"/>
        <v>-1E-05</v>
      </c>
      <c r="GY19" s="177">
        <f t="shared" si="86"/>
        <v>3</v>
      </c>
      <c r="GZ19" s="29">
        <f>IF($FF$34=2,IF(HB15=0,0,1),1)</f>
        <v>1</v>
      </c>
      <c r="HA19" s="257" t="str">
        <f>"ab 2%"</f>
        <v>ab 2%</v>
      </c>
      <c r="HB19" s="128" t="s">
        <v>67</v>
      </c>
      <c r="HC19" s="181">
        <f t="shared" si="87"/>
        <v>1</v>
      </c>
      <c r="HD19" s="177">
        <f t="shared" si="88"/>
        <v>4.5</v>
      </c>
      <c r="HE19" s="29">
        <f>IF($FF$34=2,IF(HG15=0,0,1),1)</f>
        <v>1</v>
      </c>
      <c r="HF19" s="257" t="str">
        <f>"ab 2%"</f>
        <v>ab 2%</v>
      </c>
      <c r="HG19" s="128" t="s">
        <v>67</v>
      </c>
      <c r="HH19" s="181">
        <f t="shared" si="89"/>
        <v>13.5</v>
      </c>
      <c r="HI19" s="177">
        <f t="shared" si="90"/>
        <v>19.5</v>
      </c>
      <c r="HJ19" s="29">
        <f>IF($FF$34=2,IF(HL15=0,0,1),1)</f>
        <v>1</v>
      </c>
      <c r="HK19" s="257" t="str">
        <f>"ab 2%"</f>
        <v>ab 2%</v>
      </c>
      <c r="HL19" s="128" t="s">
        <v>67</v>
      </c>
      <c r="HM19" s="181">
        <f t="shared" si="91"/>
        <v>-1E-05</v>
      </c>
      <c r="HN19" s="177">
        <f t="shared" si="92"/>
        <v>3</v>
      </c>
      <c r="HO19" s="29">
        <f>IF($FF$34=2,IF(HQ15=0,0,1),1)</f>
        <v>1</v>
      </c>
      <c r="HP19" s="257" t="str">
        <f>"ab 2%"</f>
        <v>ab 2%</v>
      </c>
      <c r="HQ19" s="128" t="s">
        <v>67</v>
      </c>
      <c r="HR19" s="181">
        <f t="shared" si="93"/>
        <v>-1E-05</v>
      </c>
      <c r="HS19" s="177">
        <f t="shared" si="94"/>
        <v>3</v>
      </c>
      <c r="HT19" s="29">
        <f>IF($FF$34=2,IF(HV15=0,0,1),1)</f>
        <v>1</v>
      </c>
      <c r="HU19" s="257" t="str">
        <f>"ab 2%"</f>
        <v>ab 2%</v>
      </c>
      <c r="HV19" s="128" t="s">
        <v>67</v>
      </c>
      <c r="HW19" s="181">
        <f t="shared" si="95"/>
        <v>-1E-05</v>
      </c>
      <c r="HX19" s="177">
        <f t="shared" si="96"/>
        <v>3</v>
      </c>
      <c r="HY19" s="29">
        <f>IF($FF$34=2,IF(IA15=0,0,1),1)</f>
        <v>1</v>
      </c>
      <c r="HZ19" s="257" t="str">
        <f>"ab 2%"</f>
        <v>ab 2%</v>
      </c>
      <c r="IA19" s="128" t="s">
        <v>67</v>
      </c>
      <c r="IB19" s="181">
        <f t="shared" si="97"/>
        <v>1.5</v>
      </c>
      <c r="IC19" s="177">
        <f t="shared" si="98"/>
        <v>5</v>
      </c>
      <c r="ID19" s="29">
        <f>IF($FF$34=2,IF(IF15=0,0,1),1)</f>
        <v>1</v>
      </c>
      <c r="IE19" s="257" t="str">
        <f>"ab 2%"</f>
        <v>ab 2%</v>
      </c>
      <c r="IF19" s="128" t="s">
        <v>67</v>
      </c>
      <c r="IG19" s="181">
        <f t="shared" si="99"/>
        <v>15.5</v>
      </c>
      <c r="IH19" s="177">
        <f t="shared" si="100"/>
        <v>21.5</v>
      </c>
      <c r="II19" s="29">
        <f>IF($FF$34=2,IF(IK15=0,0,1),1)</f>
        <v>1</v>
      </c>
      <c r="IJ19" s="257" t="str">
        <f>"ab 2%"</f>
        <v>ab 2%</v>
      </c>
      <c r="IK19" s="128" t="s">
        <v>67</v>
      </c>
      <c r="IL19" s="61"/>
    </row>
    <row r="20" spans="1:246" ht="12" customHeight="1">
      <c r="A20" s="60"/>
      <c r="B20" s="6" t="s">
        <v>104</v>
      </c>
      <c r="C20" s="172"/>
      <c r="D20" s="3"/>
      <c r="E20" s="126" t="s">
        <v>105</v>
      </c>
      <c r="F20" s="100"/>
      <c r="H20" s="10" t="str">
        <f>IF(J3="ja","Antigorit","-")</f>
        <v>-</v>
      </c>
      <c r="I20" s="3"/>
      <c r="J20" s="6"/>
      <c r="L20" s="10" t="str">
        <f>IF(N7="ja","-",IF(N7="-","-","(Mg) Klinopyroxene, Fe-Hypersthen"))</f>
        <v>-</v>
      </c>
      <c r="M20" s="3"/>
      <c r="N20" s="6"/>
      <c r="P20" s="10" t="str">
        <f>IF(R16="ja","-",IF(R16="-","-","(Si/Mg) Chrysotil, Olivin, Mg-Chlor."))</f>
        <v>-</v>
      </c>
      <c r="Q20" s="3"/>
      <c r="R20" s="6"/>
      <c r="T20" s="10" t="str">
        <f>IF(V16="ja","-",IF(V16="-","-","(Si/Mg) Chrysotil, Olivin, Mg-Chlor."))</f>
        <v>(Si/Mg) Chrysotil, Olivin, Mg-Chlor.</v>
      </c>
      <c r="U20" s="3"/>
      <c r="V20" s="6"/>
      <c r="X20" s="60" t="s">
        <v>106</v>
      </c>
      <c r="Y20" s="128" t="s">
        <v>70</v>
      </c>
      <c r="Z20" s="181">
        <f t="shared" si="13"/>
        <v>-1E-05</v>
      </c>
      <c r="AA20" s="177">
        <f t="shared" si="14"/>
        <v>1</v>
      </c>
      <c r="AB20" s="29">
        <f>IF($FF$34=3,IF(AD15=0,0,1),1)</f>
        <v>1</v>
      </c>
      <c r="AC20" s="257" t="str">
        <f>"ab 3%"</f>
        <v>ab 3%</v>
      </c>
      <c r="AD20" s="128" t="s">
        <v>70</v>
      </c>
      <c r="AE20" s="181">
        <f t="shared" si="15"/>
        <v>-1E-05</v>
      </c>
      <c r="AF20" s="177">
        <f t="shared" si="16"/>
        <v>1</v>
      </c>
      <c r="AG20" s="29">
        <f>IF($FF$34=3,IF(AI15=0,0,1),1)</f>
        <v>1</v>
      </c>
      <c r="AH20" s="257" t="str">
        <f>"ab 3%"</f>
        <v>ab 3%</v>
      </c>
      <c r="AI20" s="128" t="s">
        <v>70</v>
      </c>
      <c r="AJ20" s="181">
        <f t="shared" si="17"/>
        <v>-1E-05</v>
      </c>
      <c r="AK20" s="177">
        <f t="shared" si="18"/>
        <v>2.5</v>
      </c>
      <c r="AL20" s="29">
        <f>IF($FF$34=3,IF(AN15=0,0,1),1)</f>
        <v>1</v>
      </c>
      <c r="AM20" s="257" t="str">
        <f>"ab 3%"</f>
        <v>ab 3%</v>
      </c>
      <c r="AN20" s="128" t="s">
        <v>70</v>
      </c>
      <c r="AO20" s="181">
        <f t="shared" si="19"/>
        <v>0.5</v>
      </c>
      <c r="AP20" s="177">
        <f t="shared" si="20"/>
        <v>3</v>
      </c>
      <c r="AQ20" s="29">
        <f>IF($FF$34=3,IF(AS15=0,0,1),1)</f>
        <v>1</v>
      </c>
      <c r="AR20" s="257" t="str">
        <f>"ab 3%"</f>
        <v>ab 3%</v>
      </c>
      <c r="AS20" s="128" t="s">
        <v>70</v>
      </c>
      <c r="AT20" s="181">
        <f t="shared" si="21"/>
        <v>1.5</v>
      </c>
      <c r="AU20" s="177">
        <f t="shared" si="22"/>
        <v>5</v>
      </c>
      <c r="AV20" s="29">
        <f>IF($FF$34=3,IF(AX15=0,0,1),1)</f>
        <v>1</v>
      </c>
      <c r="AW20" s="257" t="str">
        <f>"ab 3%"</f>
        <v>ab 3%</v>
      </c>
      <c r="AX20" s="128" t="s">
        <v>70</v>
      </c>
      <c r="AY20" s="181">
        <f t="shared" si="23"/>
        <v>1</v>
      </c>
      <c r="AZ20" s="177">
        <f t="shared" si="24"/>
        <v>4</v>
      </c>
      <c r="BA20" s="29">
        <f>IF($FF$34=3,IF(BC15=0,0,1),1)</f>
        <v>1</v>
      </c>
      <c r="BB20" s="257" t="str">
        <f>"ab 3%"</f>
        <v>ab 3%</v>
      </c>
      <c r="BC20" s="128" t="s">
        <v>70</v>
      </c>
      <c r="BD20" s="181">
        <f t="shared" si="25"/>
        <v>1</v>
      </c>
      <c r="BE20" s="177">
        <f t="shared" si="26"/>
        <v>4</v>
      </c>
      <c r="BF20" s="29">
        <f>IF($FF$34=3,IF(BH15=0,0,1),1)</f>
        <v>1</v>
      </c>
      <c r="BG20" s="257" t="str">
        <f>"ab 3%"</f>
        <v>ab 3%</v>
      </c>
      <c r="BH20" s="128" t="s">
        <v>70</v>
      </c>
      <c r="BI20" s="181">
        <f t="shared" si="27"/>
        <v>2.5</v>
      </c>
      <c r="BJ20" s="177">
        <f t="shared" si="28"/>
        <v>7</v>
      </c>
      <c r="BK20" s="29">
        <f>IF($FF$34=3,IF(BM15=0,0,1),1)</f>
        <v>1</v>
      </c>
      <c r="BL20" s="257" t="str">
        <f>"ab 3%"</f>
        <v>ab 3%</v>
      </c>
      <c r="BM20" s="128" t="s">
        <v>70</v>
      </c>
      <c r="BN20" s="181">
        <f t="shared" si="29"/>
        <v>2</v>
      </c>
      <c r="BO20" s="177">
        <f t="shared" si="30"/>
        <v>5.5</v>
      </c>
      <c r="BP20" s="29">
        <f>IF($FF$34=3,IF(BR15=0,0,1),1)</f>
        <v>1</v>
      </c>
      <c r="BQ20" s="257" t="str">
        <f>"ab 3%"</f>
        <v>ab 3%</v>
      </c>
      <c r="BR20" s="128" t="s">
        <v>70</v>
      </c>
      <c r="BS20" s="181">
        <f t="shared" si="31"/>
        <v>2.5</v>
      </c>
      <c r="BT20" s="177">
        <f t="shared" si="32"/>
        <v>6</v>
      </c>
      <c r="BU20" s="29">
        <f>IF($FF$34=3,IF(BW15=0,0,1),1)</f>
        <v>1</v>
      </c>
      <c r="BV20" s="257" t="str">
        <f>"ab 3%"</f>
        <v>ab 3%</v>
      </c>
      <c r="BW20" s="128" t="s">
        <v>70</v>
      </c>
      <c r="BX20" s="181">
        <f t="shared" si="33"/>
        <v>2.5</v>
      </c>
      <c r="BY20" s="177">
        <f t="shared" si="34"/>
        <v>6</v>
      </c>
      <c r="BZ20" s="29">
        <f>IF($FF$34=3,IF(CB15=0,0,1),1)</f>
        <v>1</v>
      </c>
      <c r="CA20" s="257" t="str">
        <f>"ab 3%"</f>
        <v>ab 3%</v>
      </c>
      <c r="CB20" s="128" t="s">
        <v>70</v>
      </c>
      <c r="CC20" s="181">
        <f t="shared" si="35"/>
        <v>2.5</v>
      </c>
      <c r="CD20" s="177">
        <f t="shared" si="36"/>
        <v>6</v>
      </c>
      <c r="CE20" s="29">
        <f>IF($FF$34=3,IF(CG15=0,0,1),1)</f>
        <v>1</v>
      </c>
      <c r="CF20" s="257" t="str">
        <f>"ab 3%"</f>
        <v>ab 3%</v>
      </c>
      <c r="CG20" s="128" t="s">
        <v>70</v>
      </c>
      <c r="CH20" s="181">
        <f t="shared" si="37"/>
        <v>-1E-05</v>
      </c>
      <c r="CI20" s="177">
        <f t="shared" si="38"/>
        <v>3</v>
      </c>
      <c r="CJ20" s="29">
        <f>IF($FF$34=3,IF(CL15=0,0,1),1)</f>
        <v>1</v>
      </c>
      <c r="CK20" s="257" t="str">
        <f>"ab 3%"</f>
        <v>ab 3%</v>
      </c>
      <c r="CL20" s="128" t="s">
        <v>70</v>
      </c>
      <c r="CM20" s="181">
        <f t="shared" si="39"/>
        <v>-1E-05</v>
      </c>
      <c r="CN20" s="177">
        <f t="shared" si="40"/>
        <v>3</v>
      </c>
      <c r="CO20" s="29">
        <f>IF($FF$34=3,IF(CQ15=0,0,1),1)</f>
        <v>1</v>
      </c>
      <c r="CP20" s="257" t="str">
        <f>"ab 3%"</f>
        <v>ab 3%</v>
      </c>
      <c r="CQ20" s="128" t="s">
        <v>70</v>
      </c>
      <c r="CR20" s="181">
        <f t="shared" si="41"/>
        <v>-1E-05</v>
      </c>
      <c r="CS20" s="177">
        <f t="shared" si="42"/>
        <v>3</v>
      </c>
      <c r="CT20" s="29">
        <f>IF($FF$34=3,IF(CV15=0,0,1),1)</f>
        <v>1</v>
      </c>
      <c r="CU20" s="257" t="str">
        <f>"ab 3%"</f>
        <v>ab 3%</v>
      </c>
      <c r="CV20" s="128" t="s">
        <v>70</v>
      </c>
      <c r="CW20" s="181">
        <f t="shared" si="43"/>
        <v>-1E-05</v>
      </c>
      <c r="CX20" s="177">
        <f t="shared" si="44"/>
        <v>3</v>
      </c>
      <c r="CY20" s="29">
        <f>IF($FF$34=3,IF(DA15=0,0,1),1)</f>
        <v>1</v>
      </c>
      <c r="CZ20" s="257" t="str">
        <f>"ab 3%"</f>
        <v>ab 3%</v>
      </c>
      <c r="DA20" s="128" t="s">
        <v>70</v>
      </c>
      <c r="DB20" s="181">
        <f t="shared" si="45"/>
        <v>6.5</v>
      </c>
      <c r="DC20" s="177">
        <f t="shared" si="46"/>
        <v>12.5</v>
      </c>
      <c r="DD20" s="29">
        <f>IF($FF$34=3,IF(DF15=0,0,1),1)</f>
        <v>1</v>
      </c>
      <c r="DE20" s="257" t="str">
        <f>"ab 3%"</f>
        <v>ab 3%</v>
      </c>
      <c r="DF20" s="128" t="s">
        <v>70</v>
      </c>
      <c r="DG20" s="181">
        <f t="shared" si="47"/>
        <v>3.5</v>
      </c>
      <c r="DH20" s="177">
        <f t="shared" si="48"/>
        <v>9</v>
      </c>
      <c r="DI20" s="29">
        <f>IF($FF$34=3,IF(DK15=0,0,1),1)</f>
        <v>1</v>
      </c>
      <c r="DJ20" s="257" t="str">
        <f>"ab 3%"</f>
        <v>ab 3%</v>
      </c>
      <c r="DK20" s="128" t="s">
        <v>70</v>
      </c>
      <c r="DL20" s="181">
        <f t="shared" si="49"/>
        <v>3.5</v>
      </c>
      <c r="DM20" s="177">
        <f t="shared" si="50"/>
        <v>9.5</v>
      </c>
      <c r="DN20" s="29">
        <f>IF($FF$34=3,IF(DP15=0,0,1),1)</f>
        <v>1</v>
      </c>
      <c r="DO20" s="257" t="str">
        <f>"ab 3%"</f>
        <v>ab 3%</v>
      </c>
      <c r="DP20" s="128" t="s">
        <v>70</v>
      </c>
      <c r="DQ20" s="181">
        <f t="shared" si="51"/>
        <v>3.5</v>
      </c>
      <c r="DR20" s="177">
        <f t="shared" si="52"/>
        <v>9</v>
      </c>
      <c r="DS20" s="29">
        <f>IF($FF$34=3,IF(DU15=0,0,1),1)</f>
        <v>1</v>
      </c>
      <c r="DT20" s="257" t="str">
        <f>"ab 3%"</f>
        <v>ab 3%</v>
      </c>
      <c r="DU20" s="128" t="s">
        <v>70</v>
      </c>
      <c r="DV20" s="181">
        <f t="shared" si="53"/>
        <v>8.5</v>
      </c>
      <c r="DW20" s="177">
        <f t="shared" si="54"/>
        <v>14.5</v>
      </c>
      <c r="DX20" s="29">
        <f>IF($FF$34=3,IF(DZ15=0,0,1),1)</f>
        <v>1</v>
      </c>
      <c r="DY20" s="257" t="str">
        <f>"ab 3%"</f>
        <v>ab 3%</v>
      </c>
      <c r="DZ20" s="128" t="s">
        <v>70</v>
      </c>
      <c r="EA20" s="181">
        <f t="shared" si="55"/>
        <v>8</v>
      </c>
      <c r="EB20" s="177">
        <f t="shared" si="56"/>
        <v>14</v>
      </c>
      <c r="EC20" s="29">
        <f>IF($FF$34=3,IF(EE15=0,0,1),1)</f>
        <v>1</v>
      </c>
      <c r="ED20" s="257" t="str">
        <f>"ab 3%"</f>
        <v>ab 3%</v>
      </c>
      <c r="EE20" s="128" t="s">
        <v>70</v>
      </c>
      <c r="EF20" s="181">
        <f t="shared" si="57"/>
        <v>7</v>
      </c>
      <c r="EG20" s="177">
        <f t="shared" si="58"/>
        <v>13.5</v>
      </c>
      <c r="EH20" s="29">
        <f>IF($FF$34=3,IF(EJ15=0,0,1),1)</f>
        <v>1</v>
      </c>
      <c r="EI20" s="257" t="str">
        <f>"ab 3%"</f>
        <v>ab 3%</v>
      </c>
      <c r="EJ20" s="128" t="s">
        <v>70</v>
      </c>
      <c r="EK20" s="181">
        <f t="shared" si="59"/>
        <v>9.5</v>
      </c>
      <c r="EL20" s="177">
        <f t="shared" si="60"/>
        <v>15</v>
      </c>
      <c r="EM20" s="29">
        <f>IF($FF$34=3,IF(EO15=0,0,1),1)</f>
        <v>1</v>
      </c>
      <c r="EN20" s="257" t="str">
        <f>"ab 3%"</f>
        <v>ab 3%</v>
      </c>
      <c r="EO20" s="128" t="s">
        <v>70</v>
      </c>
      <c r="EP20" s="181">
        <f t="shared" si="61"/>
        <v>11</v>
      </c>
      <c r="EQ20" s="177">
        <f t="shared" si="62"/>
        <v>17</v>
      </c>
      <c r="ER20" s="29">
        <f>IF($FF$34=3,IF(ET15=0,0,1),1)</f>
        <v>1</v>
      </c>
      <c r="ES20" s="257" t="str">
        <f>"ab 3%"</f>
        <v>ab 3%</v>
      </c>
      <c r="ET20" s="128" t="s">
        <v>70</v>
      </c>
      <c r="EU20" s="181">
        <f t="shared" si="63"/>
        <v>6.5</v>
      </c>
      <c r="EV20" s="177">
        <f t="shared" si="64"/>
        <v>13.5</v>
      </c>
      <c r="EW20" s="29">
        <f>IF($FF$34=3,IF(EY15=0,0,1),1)</f>
        <v>1</v>
      </c>
      <c r="EX20" s="257" t="str">
        <f>"ab 3%"</f>
        <v>ab 3%</v>
      </c>
      <c r="EY20" s="128" t="s">
        <v>70</v>
      </c>
      <c r="EZ20" s="181">
        <f t="shared" si="65"/>
        <v>8.5</v>
      </c>
      <c r="FA20" s="177">
        <f t="shared" si="66"/>
        <v>15.5</v>
      </c>
      <c r="FB20" s="29">
        <f>IF($FF$34=3,IF(FD15=0,0,1),1)</f>
        <v>1</v>
      </c>
      <c r="FC20" s="257" t="str">
        <f>"ab 3%"</f>
        <v>ab 3%</v>
      </c>
      <c r="FD20" s="128" t="s">
        <v>70</v>
      </c>
      <c r="FE20" s="181">
        <f t="shared" si="67"/>
        <v>9</v>
      </c>
      <c r="FF20" s="177">
        <f t="shared" si="68"/>
        <v>18</v>
      </c>
      <c r="FG20" s="29">
        <f>IF($FF$34=3,IF(FI15=0,0,1),1)</f>
        <v>1</v>
      </c>
      <c r="FH20" s="257" t="str">
        <f>"ab 3%"</f>
        <v>ab 3%</v>
      </c>
      <c r="FI20" s="128" t="s">
        <v>70</v>
      </c>
      <c r="FJ20" s="181">
        <f t="shared" si="69"/>
        <v>8.5</v>
      </c>
      <c r="FK20" s="177">
        <f t="shared" si="70"/>
        <v>15.5</v>
      </c>
      <c r="FL20" s="29">
        <f>IF($FF$34=3,IF(FN15=0,0,1),1)</f>
        <v>1</v>
      </c>
      <c r="FM20" s="257" t="str">
        <f>"ab 3%"</f>
        <v>ab 3%</v>
      </c>
      <c r="FN20" s="128" t="s">
        <v>70</v>
      </c>
      <c r="FO20" s="181">
        <f t="shared" si="71"/>
        <v>10</v>
      </c>
      <c r="FP20" s="177">
        <f t="shared" si="72"/>
        <v>18.5</v>
      </c>
      <c r="FQ20" s="29">
        <f>IF($FF$34=3,IF(FS15=0,0,1),1)</f>
        <v>1</v>
      </c>
      <c r="FR20" s="257" t="str">
        <f>"ab 3%"</f>
        <v>ab 3%</v>
      </c>
      <c r="FS20" s="128" t="s">
        <v>70</v>
      </c>
      <c r="FT20" s="181">
        <f t="shared" si="73"/>
        <v>-1E-05</v>
      </c>
      <c r="FU20" s="177">
        <f t="shared" si="74"/>
        <v>2</v>
      </c>
      <c r="FV20" s="29">
        <f>IF($FF$34=3,IF(FX15=0,0,1),1)</f>
        <v>1</v>
      </c>
      <c r="FW20" s="257" t="str">
        <f>"ab 3%"</f>
        <v>ab 3%</v>
      </c>
      <c r="FX20" s="128" t="s">
        <v>70</v>
      </c>
      <c r="FY20" s="181">
        <f t="shared" si="75"/>
        <v>17</v>
      </c>
      <c r="FZ20" s="177">
        <f t="shared" si="76"/>
        <v>24.5</v>
      </c>
      <c r="GA20" s="29">
        <f>IF($FF$34=3,IF(GC15=0,0,1),1)</f>
        <v>1</v>
      </c>
      <c r="GB20" s="257" t="str">
        <f>"ab 3%"</f>
        <v>ab 3%</v>
      </c>
      <c r="GC20" s="128" t="s">
        <v>70</v>
      </c>
      <c r="GD20" s="181">
        <f t="shared" si="77"/>
        <v>4</v>
      </c>
      <c r="GE20" s="177">
        <f t="shared" si="78"/>
        <v>10</v>
      </c>
      <c r="GF20" s="29">
        <f>IF($FF$34=3,IF(GH15=0,0,1),1)</f>
        <v>1</v>
      </c>
      <c r="GG20" s="257" t="str">
        <f>"ab 3%"</f>
        <v>ab 3%</v>
      </c>
      <c r="GH20" s="128" t="s">
        <v>70</v>
      </c>
      <c r="GI20" s="181">
        <f t="shared" si="79"/>
        <v>4</v>
      </c>
      <c r="GJ20" s="177">
        <f t="shared" si="80"/>
        <v>9.5</v>
      </c>
      <c r="GK20" s="29">
        <f>IF($FF$34=3,IF(GM15=0,0,1),1)</f>
        <v>1</v>
      </c>
      <c r="GL20" s="257" t="str">
        <f>"ab 3%"</f>
        <v>ab 3%</v>
      </c>
      <c r="GM20" s="128" t="s">
        <v>70</v>
      </c>
      <c r="GN20" s="181">
        <f t="shared" si="81"/>
        <v>3.5</v>
      </c>
      <c r="GO20" s="177">
        <f t="shared" si="82"/>
        <v>9</v>
      </c>
      <c r="GP20" s="29">
        <f>IF($FF$34=3,IF(GR15=0,0,1),1)</f>
        <v>1</v>
      </c>
      <c r="GQ20" s="257" t="str">
        <f>"ab 3%"</f>
        <v>ab 3%</v>
      </c>
      <c r="GR20" s="128" t="s">
        <v>70</v>
      </c>
      <c r="GS20" s="181">
        <f t="shared" si="83"/>
        <v>7</v>
      </c>
      <c r="GT20" s="177">
        <f t="shared" si="84"/>
        <v>13</v>
      </c>
      <c r="GU20" s="29">
        <f>IF($FF$34=3,IF(GW15=0,0,1),1)</f>
        <v>1</v>
      </c>
      <c r="GV20" s="257" t="str">
        <f>"ab 3%"</f>
        <v>ab 3%</v>
      </c>
      <c r="GW20" s="128" t="s">
        <v>70</v>
      </c>
      <c r="GX20" s="181">
        <f t="shared" si="85"/>
        <v>1</v>
      </c>
      <c r="GY20" s="177">
        <f t="shared" si="86"/>
        <v>8</v>
      </c>
      <c r="GZ20" s="29">
        <f>IF($FF$34=3,IF(HB15=0,0,1),1)</f>
        <v>1</v>
      </c>
      <c r="HA20" s="257" t="str">
        <f>"ab 3%"</f>
        <v>ab 3%</v>
      </c>
      <c r="HB20" s="128" t="s">
        <v>70</v>
      </c>
      <c r="HC20" s="181">
        <f t="shared" si="87"/>
        <v>8</v>
      </c>
      <c r="HD20" s="177">
        <f t="shared" si="88"/>
        <v>16</v>
      </c>
      <c r="HE20" s="29">
        <f>IF($FF$34=3,IF(HG15=0,0,1),1)</f>
        <v>1</v>
      </c>
      <c r="HF20" s="257" t="str">
        <f>"ab 3%"</f>
        <v>ab 3%</v>
      </c>
      <c r="HG20" s="128" t="s">
        <v>70</v>
      </c>
      <c r="HH20" s="181">
        <f t="shared" si="89"/>
        <v>1</v>
      </c>
      <c r="HI20" s="177">
        <f t="shared" si="90"/>
        <v>4</v>
      </c>
      <c r="HJ20" s="29">
        <f>IF($FF$34=3,IF(HL15=0,0,1),1)</f>
        <v>1</v>
      </c>
      <c r="HK20" s="257" t="str">
        <f>"ab 3%"</f>
        <v>ab 3%</v>
      </c>
      <c r="HL20" s="128" t="s">
        <v>70</v>
      </c>
      <c r="HM20" s="181">
        <f t="shared" si="91"/>
        <v>12</v>
      </c>
      <c r="HN20" s="177">
        <f t="shared" si="92"/>
        <v>18</v>
      </c>
      <c r="HO20" s="29">
        <f>IF($FF$34=3,IF(HQ15=0,0,1),1)</f>
        <v>1</v>
      </c>
      <c r="HP20" s="257" t="str">
        <f>"ab 3%"</f>
        <v>ab 3%</v>
      </c>
      <c r="HQ20" s="128" t="s">
        <v>70</v>
      </c>
      <c r="HR20" s="181">
        <f t="shared" si="93"/>
        <v>15</v>
      </c>
      <c r="HS20" s="177">
        <f t="shared" si="94"/>
        <v>21</v>
      </c>
      <c r="HT20" s="29">
        <f>IF($FF$34=3,IF(HV15=0,0,1),1)</f>
        <v>1</v>
      </c>
      <c r="HU20" s="257" t="str">
        <f>"ab 3%"</f>
        <v>ab 3%</v>
      </c>
      <c r="HV20" s="128" t="s">
        <v>70</v>
      </c>
      <c r="HW20" s="181">
        <f t="shared" si="95"/>
        <v>10</v>
      </c>
      <c r="HX20" s="177">
        <f t="shared" si="96"/>
        <v>16.5</v>
      </c>
      <c r="HY20" s="29">
        <f>IF($FF$34=3,IF(IA15=0,0,1),1)</f>
        <v>1</v>
      </c>
      <c r="HZ20" s="257" t="str">
        <f>"ab 3%"</f>
        <v>ab 3%</v>
      </c>
      <c r="IA20" s="128" t="s">
        <v>70</v>
      </c>
      <c r="IB20" s="181">
        <f t="shared" si="97"/>
        <v>9</v>
      </c>
      <c r="IC20" s="177">
        <f t="shared" si="98"/>
        <v>15</v>
      </c>
      <c r="ID20" s="29">
        <f>IF($FF$34=3,IF(IF15=0,0,1),1)</f>
        <v>1</v>
      </c>
      <c r="IE20" s="257" t="str">
        <f>"ab 3%"</f>
        <v>ab 3%</v>
      </c>
      <c r="IF20" s="128" t="s">
        <v>70</v>
      </c>
      <c r="IG20" s="181">
        <f t="shared" si="99"/>
        <v>-1E-05</v>
      </c>
      <c r="IH20" s="177">
        <f t="shared" si="100"/>
        <v>3.5</v>
      </c>
      <c r="II20" s="29">
        <f>IF($FF$34=3,IF(IK15=0,0,1),1)</f>
        <v>1</v>
      </c>
      <c r="IJ20" s="257" t="str">
        <f>"ab 3%"</f>
        <v>ab 3%</v>
      </c>
      <c r="IK20" s="128" t="s">
        <v>70</v>
      </c>
      <c r="IL20" s="61"/>
    </row>
    <row r="21" spans="1:246" ht="12" customHeight="1">
      <c r="A21" s="60"/>
      <c r="B21" s="6" t="s">
        <v>107</v>
      </c>
      <c r="C21" s="172">
        <v>58.56</v>
      </c>
      <c r="D21" s="3"/>
      <c r="E21" s="126" t="s">
        <v>108</v>
      </c>
      <c r="F21" s="100"/>
      <c r="H21" s="10" t="str">
        <f>IF(J16="ja","-",IF(J16="-","-","(Si/Mg) Andere Asbeste, Pyroxene"))</f>
        <v>(Si/Mg) Andere Asbeste, Pyroxene</v>
      </c>
      <c r="I21" s="3"/>
      <c r="J21" s="6"/>
      <c r="L21" s="10" t="str">
        <f>IF(N7="ja","-",IF(N7="-","-","   Tschermakit, Fe-Chlorite, Epi./Zoi."))</f>
        <v>-</v>
      </c>
      <c r="M21" s="3"/>
      <c r="N21" s="6"/>
      <c r="P21" s="10" t="str">
        <f>IF(R7="ja",IF(C38&gt;21,"(Mg&gt;21) Enstatit",IF(C38&gt;18,"(Mg&gt;18) Talk","-")),IF(R7="-","-","(Mg) Hornblenden (außer bas.Hbl.)"))</f>
        <v>-</v>
      </c>
      <c r="Q21" s="3"/>
      <c r="R21" s="6"/>
      <c r="T21" s="10" t="str">
        <f>IF(V9="ja",IF(C38&lt;6.5,"(Mg&lt;6,5) Pigeonitaugit (Fe)","-"),IF(V9="-","-","(Mg) Olivin, Enst., Bronz., Hypers."))</f>
        <v>(Mg) Olivin, Enst., Bronz., Hypers.</v>
      </c>
      <c r="U21" s="3"/>
      <c r="V21" s="6"/>
      <c r="X21" s="60"/>
      <c r="Y21" s="128" t="s">
        <v>74</v>
      </c>
      <c r="Z21" s="181">
        <f t="shared" si="13"/>
        <v>16</v>
      </c>
      <c r="AA21" s="177">
        <f t="shared" si="14"/>
        <v>22</v>
      </c>
      <c r="AB21" s="29">
        <f>IF($FF$34=4,IF(AD15=0,0,1),1)</f>
        <v>1</v>
      </c>
      <c r="AC21" s="257" t="str">
        <f>"ab 4%"</f>
        <v>ab 4%</v>
      </c>
      <c r="AD21" s="128" t="s">
        <v>74</v>
      </c>
      <c r="AE21" s="181">
        <f t="shared" si="15"/>
        <v>14.5</v>
      </c>
      <c r="AF21" s="177">
        <f t="shared" si="16"/>
        <v>20.5</v>
      </c>
      <c r="AG21" s="29">
        <f>IF($FF$34=4,IF(AI15=0,0,1),1)</f>
        <v>1</v>
      </c>
      <c r="AH21" s="257" t="str">
        <f>"ab 4%"</f>
        <v>ab 4%</v>
      </c>
      <c r="AI21" s="128" t="s">
        <v>74</v>
      </c>
      <c r="AJ21" s="181">
        <f t="shared" si="17"/>
        <v>23</v>
      </c>
      <c r="AK21" s="177">
        <f t="shared" si="18"/>
        <v>29</v>
      </c>
      <c r="AL21" s="29">
        <f>IF($FF$34=4,IF(AN15=0,0,1),1)</f>
        <v>1</v>
      </c>
      <c r="AM21" s="257" t="str">
        <f>"ab 4%"</f>
        <v>ab 4%</v>
      </c>
      <c r="AN21" s="128" t="s">
        <v>74</v>
      </c>
      <c r="AO21" s="181">
        <f t="shared" si="19"/>
        <v>22</v>
      </c>
      <c r="AP21" s="177">
        <f t="shared" si="20"/>
        <v>28</v>
      </c>
      <c r="AQ21" s="29">
        <f>IF($FF$34=4,IF(AS15=0,0,1),1)</f>
        <v>1</v>
      </c>
      <c r="AR21" s="257" t="str">
        <f>"ab 4%"</f>
        <v>ab 4%</v>
      </c>
      <c r="AS21" s="128" t="s">
        <v>74</v>
      </c>
      <c r="AT21" s="181">
        <f t="shared" si="21"/>
        <v>21</v>
      </c>
      <c r="AU21" s="177">
        <f t="shared" si="22"/>
        <v>27</v>
      </c>
      <c r="AV21" s="29">
        <f>IF($FF$34=4,IF(AX15=0,0,1),1)</f>
        <v>1</v>
      </c>
      <c r="AW21" s="257" t="str">
        <f>"ab 4%"</f>
        <v>ab 4%</v>
      </c>
      <c r="AX21" s="128" t="s">
        <v>74</v>
      </c>
      <c r="AY21" s="181">
        <f t="shared" si="23"/>
        <v>21</v>
      </c>
      <c r="AZ21" s="177">
        <f t="shared" si="24"/>
        <v>27</v>
      </c>
      <c r="BA21" s="29">
        <f>IF($FF$34=4,IF(BC15=0,0,1),1)</f>
        <v>1</v>
      </c>
      <c r="BB21" s="257" t="str">
        <f>"ab 4%"</f>
        <v>ab 4%</v>
      </c>
      <c r="BC21" s="128" t="s">
        <v>74</v>
      </c>
      <c r="BD21" s="181">
        <f t="shared" si="25"/>
        <v>20.5</v>
      </c>
      <c r="BE21" s="177">
        <f t="shared" si="26"/>
        <v>26.5</v>
      </c>
      <c r="BF21" s="29">
        <f>IF($FF$34=4,IF(BH15=0,0,1),1)</f>
        <v>1</v>
      </c>
      <c r="BG21" s="257" t="str">
        <f>"ab 4%"</f>
        <v>ab 4%</v>
      </c>
      <c r="BH21" s="128" t="s">
        <v>74</v>
      </c>
      <c r="BI21" s="181">
        <f t="shared" si="27"/>
        <v>19.5</v>
      </c>
      <c r="BJ21" s="177">
        <f t="shared" si="28"/>
        <v>25.5</v>
      </c>
      <c r="BK21" s="29">
        <f>IF($FF$34=4,IF(BM15=0,0,1),1)</f>
        <v>1</v>
      </c>
      <c r="BL21" s="257" t="str">
        <f>"ab 4%"</f>
        <v>ab 4%</v>
      </c>
      <c r="BM21" s="128" t="s">
        <v>74</v>
      </c>
      <c r="BN21" s="181">
        <f t="shared" si="29"/>
        <v>20</v>
      </c>
      <c r="BO21" s="177">
        <f t="shared" si="30"/>
        <v>26</v>
      </c>
      <c r="BP21" s="29">
        <f>IF($FF$34=4,IF(BR15=0,0,1),1)</f>
        <v>1</v>
      </c>
      <c r="BQ21" s="257" t="str">
        <f>"ab 4%"</f>
        <v>ab 4%</v>
      </c>
      <c r="BR21" s="128" t="s">
        <v>74</v>
      </c>
      <c r="BS21" s="181">
        <f t="shared" si="31"/>
        <v>18.5</v>
      </c>
      <c r="BT21" s="177">
        <f t="shared" si="32"/>
        <v>24.5</v>
      </c>
      <c r="BU21" s="29">
        <f>IF($FF$34=4,IF(BW15=0,0,1),1)</f>
        <v>1</v>
      </c>
      <c r="BV21" s="257" t="str">
        <f>"ab 4%"</f>
        <v>ab 4%</v>
      </c>
      <c r="BW21" s="128" t="s">
        <v>74</v>
      </c>
      <c r="BX21" s="181">
        <f t="shared" si="33"/>
        <v>20.5</v>
      </c>
      <c r="BY21" s="177">
        <f t="shared" si="34"/>
        <v>26.5</v>
      </c>
      <c r="BZ21" s="29">
        <f>IF($FF$34=4,IF(CB15=0,0,1),1)</f>
        <v>1</v>
      </c>
      <c r="CA21" s="257" t="str">
        <f>"ab 4%"</f>
        <v>ab 4%</v>
      </c>
      <c r="CB21" s="128" t="s">
        <v>74</v>
      </c>
      <c r="CC21" s="181">
        <f t="shared" si="35"/>
        <v>19.5</v>
      </c>
      <c r="CD21" s="177">
        <f t="shared" si="36"/>
        <v>25.5</v>
      </c>
      <c r="CE21" s="29">
        <f>IF($FF$34=4,IF(CG15=0,0,1),1)</f>
        <v>1</v>
      </c>
      <c r="CF21" s="257" t="str">
        <f>"ab 4%"</f>
        <v>ab 4%</v>
      </c>
      <c r="CG21" s="128" t="s">
        <v>74</v>
      </c>
      <c r="CH21" s="181">
        <f t="shared" si="37"/>
        <v>25</v>
      </c>
      <c r="CI21" s="177">
        <f t="shared" si="38"/>
        <v>31</v>
      </c>
      <c r="CJ21" s="29">
        <f>IF($FF$34=4,IF(CL15=0,0,1),1)</f>
        <v>1</v>
      </c>
      <c r="CK21" s="257" t="str">
        <f>"ab 4%"</f>
        <v>ab 4%</v>
      </c>
      <c r="CL21" s="128" t="s">
        <v>74</v>
      </c>
      <c r="CM21" s="181">
        <f t="shared" si="39"/>
        <v>23.5</v>
      </c>
      <c r="CN21" s="177">
        <f t="shared" si="40"/>
        <v>29.5</v>
      </c>
      <c r="CO21" s="29">
        <f>IF($FF$34=4,IF(CQ15=0,0,1),1)</f>
        <v>1</v>
      </c>
      <c r="CP21" s="257" t="str">
        <f>"ab 4%"</f>
        <v>ab 4%</v>
      </c>
      <c r="CQ21" s="128" t="s">
        <v>74</v>
      </c>
      <c r="CR21" s="181">
        <f t="shared" si="41"/>
        <v>22</v>
      </c>
      <c r="CS21" s="177">
        <f t="shared" si="42"/>
        <v>28</v>
      </c>
      <c r="CT21" s="29">
        <f>IF($FF$34=4,IF(CV15=0,0,1),1)</f>
        <v>1</v>
      </c>
      <c r="CU21" s="257" t="str">
        <f>"ab 4%"</f>
        <v>ab 4%</v>
      </c>
      <c r="CV21" s="128" t="s">
        <v>74</v>
      </c>
      <c r="CW21" s="181">
        <f t="shared" si="43"/>
        <v>20.5</v>
      </c>
      <c r="CX21" s="177">
        <f t="shared" si="44"/>
        <v>26.5</v>
      </c>
      <c r="CY21" s="29">
        <f>IF($FF$34=4,IF(DA15=0,0,1),1)</f>
        <v>1</v>
      </c>
      <c r="CZ21" s="257" t="str">
        <f>"ab 4%"</f>
        <v>ab 4%</v>
      </c>
      <c r="DA21" s="128" t="s">
        <v>74</v>
      </c>
      <c r="DB21" s="181">
        <f t="shared" si="45"/>
        <v>17</v>
      </c>
      <c r="DC21" s="177">
        <f t="shared" si="46"/>
        <v>23</v>
      </c>
      <c r="DD21" s="29">
        <f>IF($FF$34=4,IF(DF15=0,0,1),1)</f>
        <v>1</v>
      </c>
      <c r="DE21" s="257" t="str">
        <f>"ab 4%"</f>
        <v>ab 4%</v>
      </c>
      <c r="DF21" s="128" t="s">
        <v>74</v>
      </c>
      <c r="DG21" s="181">
        <f t="shared" si="47"/>
        <v>16</v>
      </c>
      <c r="DH21" s="177">
        <f t="shared" si="48"/>
        <v>22</v>
      </c>
      <c r="DI21" s="29">
        <f>IF($FF$34=4,IF(DK15=0,0,1),1)</f>
        <v>1</v>
      </c>
      <c r="DJ21" s="257" t="str">
        <f>"ab 4%"</f>
        <v>ab 4%</v>
      </c>
      <c r="DK21" s="128" t="s">
        <v>74</v>
      </c>
      <c r="DL21" s="181">
        <f t="shared" si="49"/>
        <v>17</v>
      </c>
      <c r="DM21" s="177">
        <f t="shared" si="50"/>
        <v>23</v>
      </c>
      <c r="DN21" s="29">
        <f>IF($FF$34=4,IF(DP15=0,0,1),1)</f>
        <v>1</v>
      </c>
      <c r="DO21" s="257" t="str">
        <f>"ab 4%"</f>
        <v>ab 4%</v>
      </c>
      <c r="DP21" s="128" t="s">
        <v>74</v>
      </c>
      <c r="DQ21" s="181">
        <f t="shared" si="51"/>
        <v>16</v>
      </c>
      <c r="DR21" s="177">
        <f t="shared" si="52"/>
        <v>22</v>
      </c>
      <c r="DS21" s="29">
        <f>IF($FF$34=4,IF(DU15=0,0,1),1)</f>
        <v>1</v>
      </c>
      <c r="DT21" s="257" t="str">
        <f>"ab 4%"</f>
        <v>ab 4%</v>
      </c>
      <c r="DU21" s="128" t="s">
        <v>74</v>
      </c>
      <c r="DV21" s="181">
        <f t="shared" si="53"/>
        <v>17</v>
      </c>
      <c r="DW21" s="177">
        <f t="shared" si="54"/>
        <v>23</v>
      </c>
      <c r="DX21" s="29">
        <f>IF($FF$34=4,IF(DZ15=0,0,1),1)</f>
        <v>1</v>
      </c>
      <c r="DY21" s="257" t="str">
        <f>"ab 4%"</f>
        <v>ab 4%</v>
      </c>
      <c r="DZ21" s="128" t="s">
        <v>74</v>
      </c>
      <c r="EA21" s="181">
        <f t="shared" si="55"/>
        <v>17</v>
      </c>
      <c r="EB21" s="177">
        <f t="shared" si="56"/>
        <v>23</v>
      </c>
      <c r="EC21" s="29">
        <f>IF($FF$34=4,IF(EE15=0,0,1),1)</f>
        <v>1</v>
      </c>
      <c r="ED21" s="257" t="str">
        <f>"ab 4%"</f>
        <v>ab 4%</v>
      </c>
      <c r="EE21" s="128" t="s">
        <v>74</v>
      </c>
      <c r="EF21" s="181">
        <f t="shared" si="57"/>
        <v>16</v>
      </c>
      <c r="EG21" s="177">
        <f t="shared" si="58"/>
        <v>22</v>
      </c>
      <c r="EH21" s="29">
        <f>IF($FF$34=4,IF(EJ15=0,0,1),1)</f>
        <v>1</v>
      </c>
      <c r="EI21" s="257" t="str">
        <f>"ab 4%"</f>
        <v>ab 4%</v>
      </c>
      <c r="EJ21" s="128" t="s">
        <v>74</v>
      </c>
      <c r="EK21" s="181">
        <f t="shared" si="59"/>
        <v>13.5</v>
      </c>
      <c r="EL21" s="177">
        <f t="shared" si="60"/>
        <v>19.5</v>
      </c>
      <c r="EM21" s="29">
        <f>IF($FF$34=4,IF(EO15=0,0,1),1)</f>
        <v>1</v>
      </c>
      <c r="EN21" s="257" t="str">
        <f>"ab 4%"</f>
        <v>ab 4%</v>
      </c>
      <c r="EO21" s="128" t="s">
        <v>74</v>
      </c>
      <c r="EP21" s="181">
        <f t="shared" si="61"/>
        <v>11.5</v>
      </c>
      <c r="EQ21" s="177">
        <f t="shared" si="62"/>
        <v>17.5</v>
      </c>
      <c r="ER21" s="29">
        <f>IF($FF$34=4,IF(ET15=0,0,1),1)</f>
        <v>1</v>
      </c>
      <c r="ES21" s="257" t="str">
        <f>"ab 4%"</f>
        <v>ab 4%</v>
      </c>
      <c r="ET21" s="128" t="s">
        <v>74</v>
      </c>
      <c r="EU21" s="181">
        <f t="shared" si="63"/>
        <v>14</v>
      </c>
      <c r="EV21" s="177">
        <f t="shared" si="64"/>
        <v>20</v>
      </c>
      <c r="EW21" s="29">
        <f>IF($FF$34=4,IF(EY15=0,0,1),1)</f>
        <v>1</v>
      </c>
      <c r="EX21" s="257" t="str">
        <f>"ab 4%"</f>
        <v>ab 4%</v>
      </c>
      <c r="EY21" s="128" t="s">
        <v>74</v>
      </c>
      <c r="EZ21" s="181">
        <f t="shared" si="65"/>
        <v>12</v>
      </c>
      <c r="FA21" s="177">
        <f t="shared" si="66"/>
        <v>18</v>
      </c>
      <c r="FB21" s="29">
        <f>IF($FF$34=4,IF(FD15=0,0,1),1)</f>
        <v>1</v>
      </c>
      <c r="FC21" s="257" t="str">
        <f>"ab 4%"</f>
        <v>ab 4%</v>
      </c>
      <c r="FD21" s="128" t="s">
        <v>74</v>
      </c>
      <c r="FE21" s="181">
        <f t="shared" si="67"/>
        <v>10</v>
      </c>
      <c r="FF21" s="177">
        <f t="shared" si="68"/>
        <v>16</v>
      </c>
      <c r="FG21" s="29">
        <f>IF($FF$34=4,IF(FI15=0,0,1),1)</f>
        <v>1</v>
      </c>
      <c r="FH21" s="257" t="str">
        <f>"ab 4%"</f>
        <v>ab 4%</v>
      </c>
      <c r="FI21" s="128" t="s">
        <v>74</v>
      </c>
      <c r="FJ21" s="181">
        <f t="shared" si="69"/>
        <v>11.5</v>
      </c>
      <c r="FK21" s="177">
        <f t="shared" si="70"/>
        <v>17.5</v>
      </c>
      <c r="FL21" s="29">
        <f>IF($FF$34=4,IF(FN15=0,0,1),1)</f>
        <v>1</v>
      </c>
      <c r="FM21" s="257" t="str">
        <f>"ab 4%"</f>
        <v>ab 4%</v>
      </c>
      <c r="FN21" s="128" t="s">
        <v>74</v>
      </c>
      <c r="FO21" s="181">
        <f t="shared" si="71"/>
        <v>9.5</v>
      </c>
      <c r="FP21" s="177">
        <f t="shared" si="72"/>
        <v>15.5</v>
      </c>
      <c r="FQ21" s="29">
        <f>IF($FF$34=4,IF(FS15=0,0,1),1)</f>
        <v>1</v>
      </c>
      <c r="FR21" s="257" t="str">
        <f>"ab 4%"</f>
        <v>ab 4%</v>
      </c>
      <c r="FS21" s="128" t="s">
        <v>74</v>
      </c>
      <c r="FT21" s="181">
        <f t="shared" si="73"/>
        <v>28</v>
      </c>
      <c r="FU21" s="177">
        <f t="shared" si="74"/>
        <v>34</v>
      </c>
      <c r="FV21" s="29">
        <f>IF($FF$34=4,IF(FX15=0,0,1),1)</f>
        <v>1</v>
      </c>
      <c r="FW21" s="257" t="str">
        <f>"ab 4%"</f>
        <v>ab 4%</v>
      </c>
      <c r="FX21" s="128" t="s">
        <v>74</v>
      </c>
      <c r="FY21" s="181">
        <f t="shared" si="75"/>
        <v>19</v>
      </c>
      <c r="FZ21" s="177">
        <f t="shared" si="76"/>
        <v>27</v>
      </c>
      <c r="GA21" s="29">
        <f>IF($FF$34=4,IF(GC15=0,0,1),1)</f>
        <v>1</v>
      </c>
      <c r="GB21" s="257" t="str">
        <f>"ab 4%"</f>
        <v>ab 4%</v>
      </c>
      <c r="GC21" s="128" t="s">
        <v>74</v>
      </c>
      <c r="GD21" s="181">
        <f t="shared" si="77"/>
        <v>18</v>
      </c>
      <c r="GE21" s="177">
        <f t="shared" si="78"/>
        <v>24</v>
      </c>
      <c r="GF21" s="29">
        <f>IF($FF$34=4,IF(GH15=0,0,1),1)</f>
        <v>1</v>
      </c>
      <c r="GG21" s="257" t="str">
        <f>"ab 4%"</f>
        <v>ab 4%</v>
      </c>
      <c r="GH21" s="128" t="s">
        <v>74</v>
      </c>
      <c r="GI21" s="181">
        <f t="shared" si="79"/>
        <v>17</v>
      </c>
      <c r="GJ21" s="177">
        <f t="shared" si="80"/>
        <v>23</v>
      </c>
      <c r="GK21" s="29">
        <f>IF($FF$34=4,IF(GM15=0,0,1),1)</f>
        <v>1</v>
      </c>
      <c r="GL21" s="257" t="str">
        <f>"ab 4%"</f>
        <v>ab 4%</v>
      </c>
      <c r="GM21" s="128" t="s">
        <v>74</v>
      </c>
      <c r="GN21" s="181">
        <f t="shared" si="81"/>
        <v>16</v>
      </c>
      <c r="GO21" s="177">
        <f t="shared" si="82"/>
        <v>22</v>
      </c>
      <c r="GP21" s="29">
        <f>IF($FF$34=4,IF(GR15=0,0,1),1)</f>
        <v>1</v>
      </c>
      <c r="GQ21" s="257" t="str">
        <f>"ab 4%"</f>
        <v>ab 4%</v>
      </c>
      <c r="GR21" s="128" t="s">
        <v>74</v>
      </c>
      <c r="GS21" s="181">
        <f t="shared" si="83"/>
        <v>17</v>
      </c>
      <c r="GT21" s="177">
        <f t="shared" si="84"/>
        <v>23</v>
      </c>
      <c r="GU21" s="29">
        <f>IF($FF$34=4,IF(GW15=0,0,1),1)</f>
        <v>1</v>
      </c>
      <c r="GV21" s="257" t="str">
        <f>"ab 4%"</f>
        <v>ab 4%</v>
      </c>
      <c r="GW21" s="128" t="s">
        <v>74</v>
      </c>
      <c r="GX21" s="181">
        <f t="shared" si="85"/>
        <v>23.5</v>
      </c>
      <c r="GY21" s="177">
        <f t="shared" si="86"/>
        <v>29.5</v>
      </c>
      <c r="GZ21" s="29">
        <f>IF($FF$34=4,IF(HB15=0,0,1),1)</f>
        <v>1</v>
      </c>
      <c r="HA21" s="257" t="str">
        <f>"ab 4%"</f>
        <v>ab 4%</v>
      </c>
      <c r="HB21" s="128" t="s">
        <v>74</v>
      </c>
      <c r="HC21" s="181">
        <f t="shared" si="87"/>
        <v>29</v>
      </c>
      <c r="HD21" s="177">
        <f t="shared" si="88"/>
        <v>35</v>
      </c>
      <c r="HE21" s="29">
        <f>IF($FF$34=4,IF(HG15=0,0,1),1)</f>
        <v>1</v>
      </c>
      <c r="HF21" s="257" t="str">
        <f>"ab 4%"</f>
        <v>ab 4%</v>
      </c>
      <c r="HG21" s="128" t="s">
        <v>74</v>
      </c>
      <c r="HH21" s="181">
        <f t="shared" si="89"/>
        <v>24</v>
      </c>
      <c r="HI21" s="177">
        <f t="shared" si="90"/>
        <v>30</v>
      </c>
      <c r="HJ21" s="29">
        <f>IF($FF$34=4,IF(HL15=0,0,1),1)</f>
        <v>1</v>
      </c>
      <c r="HK21" s="257" t="str">
        <f>"ab 4%"</f>
        <v>ab 4%</v>
      </c>
      <c r="HL21" s="128" t="s">
        <v>74</v>
      </c>
      <c r="HM21" s="181">
        <f t="shared" si="91"/>
        <v>15.5</v>
      </c>
      <c r="HN21" s="177">
        <f t="shared" si="92"/>
        <v>21.5</v>
      </c>
      <c r="HO21" s="29">
        <f>IF($FF$34=4,IF(HQ15=0,0,1),1)</f>
        <v>1</v>
      </c>
      <c r="HP21" s="257" t="str">
        <f>"ab 4%"</f>
        <v>ab 4%</v>
      </c>
      <c r="HQ21" s="128" t="s">
        <v>74</v>
      </c>
      <c r="HR21" s="181">
        <f t="shared" si="93"/>
        <v>16</v>
      </c>
      <c r="HS21" s="177">
        <f t="shared" si="94"/>
        <v>22</v>
      </c>
      <c r="HT21" s="29">
        <f>IF($FF$34=4,IF(HV15=0,0,1),1)</f>
        <v>1</v>
      </c>
      <c r="HU21" s="257" t="str">
        <f>"ab 4%"</f>
        <v>ab 4%</v>
      </c>
      <c r="HV21" s="128" t="s">
        <v>74</v>
      </c>
      <c r="HW21" s="181">
        <f t="shared" si="95"/>
        <v>18.5</v>
      </c>
      <c r="HX21" s="177">
        <f t="shared" si="96"/>
        <v>24.5</v>
      </c>
      <c r="HY21" s="29">
        <f>IF($FF$34=4,IF(IA15=0,0,1),1)</f>
        <v>1</v>
      </c>
      <c r="HZ21" s="257" t="str">
        <f>"ab 4%"</f>
        <v>ab 4%</v>
      </c>
      <c r="IA21" s="128" t="s">
        <v>74</v>
      </c>
      <c r="IB21" s="181">
        <f t="shared" si="97"/>
        <v>15.5</v>
      </c>
      <c r="IC21" s="177">
        <f t="shared" si="98"/>
        <v>21.5</v>
      </c>
      <c r="ID21" s="29">
        <f>IF($FF$34=4,IF(IF15=0,0,1),1)</f>
        <v>1</v>
      </c>
      <c r="IE21" s="257" t="str">
        <f>"ab 4%"</f>
        <v>ab 4%</v>
      </c>
      <c r="IF21" s="128" t="s">
        <v>74</v>
      </c>
      <c r="IG21" s="181">
        <f t="shared" si="99"/>
        <v>29.5</v>
      </c>
      <c r="IH21" s="177">
        <f t="shared" si="100"/>
        <v>35.5</v>
      </c>
      <c r="II21" s="29">
        <f>IF($FF$34=4,IF(IK15=0,0,1),1)</f>
        <v>1</v>
      </c>
      <c r="IJ21" s="257" t="str">
        <f>"ab 4%"</f>
        <v>ab 4%</v>
      </c>
      <c r="IK21" s="128" t="s">
        <v>74</v>
      </c>
      <c r="IL21" s="61"/>
    </row>
    <row r="22" spans="1:246" ht="12" customHeight="1">
      <c r="A22" s="60"/>
      <c r="B22" s="6" t="s">
        <v>109</v>
      </c>
      <c r="C22" s="172"/>
      <c r="D22" s="3"/>
      <c r="E22" s="173" t="s">
        <v>110</v>
      </c>
      <c r="F22" s="171"/>
      <c r="G22" s="145"/>
      <c r="H22" s="10" t="str">
        <f>IF(J16="ja","-",IF(J16="-","-","   Hornblenden, Talk, Saponit"))</f>
        <v>   Hornblenden, Talk, Saponit</v>
      </c>
      <c r="I22" s="3"/>
      <c r="J22" s="6"/>
      <c r="L22" s="10" t="str">
        <f>IF(N7="ja",IF(C38&lt;15,"(Mg&lt;15) Pigeonit",IF(C38&gt;21,"(Mg&gt;21) Enstatit","-")),"-")</f>
        <v>-</v>
      </c>
      <c r="M22" s="3"/>
      <c r="N22" s="6"/>
      <c r="P22" s="10" t="str">
        <f>IF(R7="ja","-",IF(R7="-","-","   Augit, Pigeonitaug., Fe-Hypersth."))</f>
        <v>-</v>
      </c>
      <c r="Q22" s="3"/>
      <c r="R22" s="6"/>
      <c r="T22" s="10" t="str">
        <f>IF(V9="ja","-",IF(V9="-","-","   Mg-/Mg-Fe-Chlorite, Talk, Verm."))</f>
        <v>   Mg-/Mg-Fe-Chlorite, Talk, Verm.</v>
      </c>
      <c r="U22" s="3"/>
      <c r="V22" s="6"/>
      <c r="X22" s="229" t="s">
        <v>111</v>
      </c>
      <c r="Y22" s="128" t="s">
        <v>77</v>
      </c>
      <c r="Z22" s="181">
        <f t="shared" si="13"/>
        <v>-1E-05</v>
      </c>
      <c r="AA22" s="177">
        <f t="shared" si="14"/>
        <v>1</v>
      </c>
      <c r="AB22" s="29">
        <f>IF($FF$34=5,IF(AD15=0,0,1),1)</f>
        <v>1</v>
      </c>
      <c r="AC22" s="257" t="str">
        <f>"ab 5%"</f>
        <v>ab 5%</v>
      </c>
      <c r="AD22" s="128" t="s">
        <v>77</v>
      </c>
      <c r="AE22" s="181">
        <f t="shared" si="15"/>
        <v>-1E-05</v>
      </c>
      <c r="AF22" s="177">
        <f t="shared" si="16"/>
        <v>1</v>
      </c>
      <c r="AG22" s="29">
        <f>IF($FF$34=5,IF(AI15=0,0,1),1)</f>
        <v>1</v>
      </c>
      <c r="AH22" s="257" t="str">
        <f>"ab 5%"</f>
        <v>ab 5%</v>
      </c>
      <c r="AI22" s="128" t="s">
        <v>77</v>
      </c>
      <c r="AJ22" s="181">
        <f t="shared" si="17"/>
        <v>-1E-05</v>
      </c>
      <c r="AK22" s="177">
        <f t="shared" si="18"/>
        <v>1</v>
      </c>
      <c r="AL22" s="29">
        <f>IF($FF$34=5,IF(AN15=0,0,1),1)</f>
        <v>1</v>
      </c>
      <c r="AM22" s="257" t="str">
        <f>"ab 5%"</f>
        <v>ab 5%</v>
      </c>
      <c r="AN22" s="128" t="s">
        <v>77</v>
      </c>
      <c r="AO22" s="181">
        <f t="shared" si="19"/>
        <v>-1E-05</v>
      </c>
      <c r="AP22" s="177">
        <f t="shared" si="20"/>
        <v>1</v>
      </c>
      <c r="AQ22" s="29">
        <f>IF($FF$34=5,IF(AS15=0,0,1),1)</f>
        <v>1</v>
      </c>
      <c r="AR22" s="257" t="str">
        <f>"ab 5%"</f>
        <v>ab 5%</v>
      </c>
      <c r="AS22" s="128" t="s">
        <v>77</v>
      </c>
      <c r="AT22" s="181">
        <f t="shared" si="21"/>
        <v>-1E-05</v>
      </c>
      <c r="AU22" s="177">
        <f t="shared" si="22"/>
        <v>1</v>
      </c>
      <c r="AV22" s="29">
        <f>IF($FF$34=5,IF(AX15=0,0,1),1)</f>
        <v>1</v>
      </c>
      <c r="AW22" s="257" t="str">
        <f>"ab 5%"</f>
        <v>ab 5%</v>
      </c>
      <c r="AX22" s="128" t="s">
        <v>77</v>
      </c>
      <c r="AY22" s="181">
        <f t="shared" si="23"/>
        <v>-1E-05</v>
      </c>
      <c r="AZ22" s="177">
        <f t="shared" si="24"/>
        <v>1</v>
      </c>
      <c r="BA22" s="29">
        <f>IF($FF$34=5,IF(BC15=0,0,1),1)</f>
        <v>1</v>
      </c>
      <c r="BB22" s="257" t="str">
        <f>"ab 5%"</f>
        <v>ab 5%</v>
      </c>
      <c r="BC22" s="128" t="s">
        <v>77</v>
      </c>
      <c r="BD22" s="181">
        <f t="shared" si="25"/>
        <v>-1E-05</v>
      </c>
      <c r="BE22" s="177">
        <f t="shared" si="26"/>
        <v>1</v>
      </c>
      <c r="BF22" s="29">
        <f>IF($FF$34=5,IF(BH15=0,0,1),1)</f>
        <v>1</v>
      </c>
      <c r="BG22" s="257" t="str">
        <f>"ab 5%"</f>
        <v>ab 5%</v>
      </c>
      <c r="BH22" s="128" t="s">
        <v>77</v>
      </c>
      <c r="BI22" s="181">
        <f t="shared" si="27"/>
        <v>-1E-05</v>
      </c>
      <c r="BJ22" s="177">
        <f t="shared" si="28"/>
        <v>1</v>
      </c>
      <c r="BK22" s="29">
        <f>IF($FF$34=5,IF(BM15=0,0,1),1)</f>
        <v>1</v>
      </c>
      <c r="BL22" s="257" t="str">
        <f>"ab 5%"</f>
        <v>ab 5%</v>
      </c>
      <c r="BM22" s="128" t="s">
        <v>77</v>
      </c>
      <c r="BN22" s="181">
        <f t="shared" si="29"/>
        <v>-1E-05</v>
      </c>
      <c r="BO22" s="177">
        <f t="shared" si="30"/>
        <v>1</v>
      </c>
      <c r="BP22" s="29">
        <f>IF($FF$34=5,IF(BR15=0,0,1),1)</f>
        <v>1</v>
      </c>
      <c r="BQ22" s="257" t="str">
        <f>"ab 5%"</f>
        <v>ab 5%</v>
      </c>
      <c r="BR22" s="128" t="s">
        <v>77</v>
      </c>
      <c r="BS22" s="181">
        <f t="shared" si="31"/>
        <v>-1E-05</v>
      </c>
      <c r="BT22" s="177">
        <f t="shared" si="32"/>
        <v>1</v>
      </c>
      <c r="BU22" s="29">
        <f>IF($FF$34=5,IF(BW15=0,0,1),1)</f>
        <v>1</v>
      </c>
      <c r="BV22" s="257" t="str">
        <f>"ab 5%"</f>
        <v>ab 5%</v>
      </c>
      <c r="BW22" s="128" t="s">
        <v>77</v>
      </c>
      <c r="BX22" s="181">
        <f t="shared" si="33"/>
        <v>-1E-05</v>
      </c>
      <c r="BY22" s="177">
        <f t="shared" si="34"/>
        <v>1</v>
      </c>
      <c r="BZ22" s="29">
        <f>IF($FF$34=5,IF(CB15=0,0,1),1)</f>
        <v>1</v>
      </c>
      <c r="CA22" s="257" t="str">
        <f>"ab 5%"</f>
        <v>ab 5%</v>
      </c>
      <c r="CB22" s="128" t="s">
        <v>77</v>
      </c>
      <c r="CC22" s="181">
        <f t="shared" si="35"/>
        <v>-1E-05</v>
      </c>
      <c r="CD22" s="177">
        <f t="shared" si="36"/>
        <v>1</v>
      </c>
      <c r="CE22" s="29">
        <f>IF($FF$34=5,IF(CG15=0,0,1),1)</f>
        <v>1</v>
      </c>
      <c r="CF22" s="257" t="str">
        <f>"ab 5%"</f>
        <v>ab 5%</v>
      </c>
      <c r="CG22" s="128" t="s">
        <v>77</v>
      </c>
      <c r="CH22" s="181">
        <f t="shared" si="37"/>
        <v>-1E-05</v>
      </c>
      <c r="CI22" s="177">
        <f t="shared" si="38"/>
        <v>1</v>
      </c>
      <c r="CJ22" s="29">
        <f>IF($FF$34=5,IF(CL15=0,0,1),1)</f>
        <v>1</v>
      </c>
      <c r="CK22" s="257" t="str">
        <f>"ab 5%"</f>
        <v>ab 5%</v>
      </c>
      <c r="CL22" s="128" t="s">
        <v>77</v>
      </c>
      <c r="CM22" s="181">
        <f t="shared" si="39"/>
        <v>-1E-05</v>
      </c>
      <c r="CN22" s="177">
        <f t="shared" si="40"/>
        <v>1</v>
      </c>
      <c r="CO22" s="29">
        <f>IF($FF$34=5,IF(CQ15=0,0,1),1)</f>
        <v>1</v>
      </c>
      <c r="CP22" s="257" t="str">
        <f>"ab 5%"</f>
        <v>ab 5%</v>
      </c>
      <c r="CQ22" s="128" t="s">
        <v>77</v>
      </c>
      <c r="CR22" s="181">
        <f t="shared" si="41"/>
        <v>-1E-05</v>
      </c>
      <c r="CS22" s="177">
        <f t="shared" si="42"/>
        <v>1</v>
      </c>
      <c r="CT22" s="29">
        <f>IF($FF$34=5,IF(CV15=0,0,1),1)</f>
        <v>1</v>
      </c>
      <c r="CU22" s="257" t="str">
        <f>"ab 5%"</f>
        <v>ab 5%</v>
      </c>
      <c r="CV22" s="128" t="s">
        <v>77</v>
      </c>
      <c r="CW22" s="181">
        <f t="shared" si="43"/>
        <v>-1E-05</v>
      </c>
      <c r="CX22" s="177">
        <f t="shared" si="44"/>
        <v>1</v>
      </c>
      <c r="CY22" s="29">
        <f>IF($FF$34=5,IF(DA15=0,0,1),1)</f>
        <v>1</v>
      </c>
      <c r="CZ22" s="257" t="str">
        <f>"ab 5%"</f>
        <v>ab 5%</v>
      </c>
      <c r="DA22" s="128" t="s">
        <v>77</v>
      </c>
      <c r="DB22" s="181">
        <f t="shared" si="45"/>
        <v>-1E-05</v>
      </c>
      <c r="DC22" s="177">
        <f t="shared" si="46"/>
        <v>1</v>
      </c>
      <c r="DD22" s="29">
        <f>IF($FF$34=5,IF(DF15=0,0,1),1)</f>
        <v>1</v>
      </c>
      <c r="DE22" s="257" t="str">
        <f>"ab 5%"</f>
        <v>ab 5%</v>
      </c>
      <c r="DF22" s="128" t="s">
        <v>77</v>
      </c>
      <c r="DG22" s="181">
        <f t="shared" si="47"/>
        <v>-1E-05</v>
      </c>
      <c r="DH22" s="177">
        <f t="shared" si="48"/>
        <v>1</v>
      </c>
      <c r="DI22" s="29">
        <f>IF($FF$34=5,IF(DK15=0,0,1),1)</f>
        <v>1</v>
      </c>
      <c r="DJ22" s="257" t="str">
        <f>"ab 5%"</f>
        <v>ab 5%</v>
      </c>
      <c r="DK22" s="128" t="s">
        <v>77</v>
      </c>
      <c r="DL22" s="181">
        <f t="shared" si="49"/>
        <v>-1E-05</v>
      </c>
      <c r="DM22" s="177">
        <f t="shared" si="50"/>
        <v>1</v>
      </c>
      <c r="DN22" s="29">
        <f>IF($FF$34=5,IF(DP15=0,0,1),1)</f>
        <v>1</v>
      </c>
      <c r="DO22" s="257" t="str">
        <f>"ab 5%"</f>
        <v>ab 5%</v>
      </c>
      <c r="DP22" s="128" t="s">
        <v>77</v>
      </c>
      <c r="DQ22" s="181">
        <f t="shared" si="51"/>
        <v>-1E-05</v>
      </c>
      <c r="DR22" s="177">
        <f t="shared" si="52"/>
        <v>1</v>
      </c>
      <c r="DS22" s="29">
        <f>IF($FF$34=5,IF(DU15=0,0,1),1)</f>
        <v>1</v>
      </c>
      <c r="DT22" s="257" t="str">
        <f>"ab 5%"</f>
        <v>ab 5%</v>
      </c>
      <c r="DU22" s="128" t="s">
        <v>77</v>
      </c>
      <c r="DV22" s="181">
        <f t="shared" si="53"/>
        <v>-1E-05</v>
      </c>
      <c r="DW22" s="177">
        <f t="shared" si="54"/>
        <v>1</v>
      </c>
      <c r="DX22" s="29">
        <f>IF($FF$34=5,IF(DZ15=0,0,1),1)</f>
        <v>1</v>
      </c>
      <c r="DY22" s="257" t="str">
        <f>"ab 5%"</f>
        <v>ab 5%</v>
      </c>
      <c r="DZ22" s="128" t="s">
        <v>77</v>
      </c>
      <c r="EA22" s="181">
        <f t="shared" si="55"/>
        <v>-1E-05</v>
      </c>
      <c r="EB22" s="177">
        <f t="shared" si="56"/>
        <v>1</v>
      </c>
      <c r="EC22" s="29">
        <f>IF($FF$34=5,IF(EE15=0,0,1),1)</f>
        <v>1</v>
      </c>
      <c r="ED22" s="257" t="str">
        <f>"ab 5%"</f>
        <v>ab 5%</v>
      </c>
      <c r="EE22" s="128" t="s">
        <v>77</v>
      </c>
      <c r="EF22" s="181">
        <f t="shared" si="57"/>
        <v>-1E-05</v>
      </c>
      <c r="EG22" s="177">
        <f t="shared" si="58"/>
        <v>1</v>
      </c>
      <c r="EH22" s="29">
        <f>IF($FF$34=5,IF(EJ15=0,0,1),1)</f>
        <v>1</v>
      </c>
      <c r="EI22" s="257" t="str">
        <f>"ab 5%"</f>
        <v>ab 5%</v>
      </c>
      <c r="EJ22" s="128" t="s">
        <v>77</v>
      </c>
      <c r="EK22" s="181">
        <f t="shared" si="59"/>
        <v>-1E-05</v>
      </c>
      <c r="EL22" s="177">
        <f t="shared" si="60"/>
        <v>1</v>
      </c>
      <c r="EM22" s="29">
        <f>IF($FF$34=5,IF(EO15=0,0,1),1)</f>
        <v>1</v>
      </c>
      <c r="EN22" s="257" t="str">
        <f>"ab 5%"</f>
        <v>ab 5%</v>
      </c>
      <c r="EO22" s="128" t="s">
        <v>77</v>
      </c>
      <c r="EP22" s="181">
        <f t="shared" si="61"/>
        <v>-1E-05</v>
      </c>
      <c r="EQ22" s="177">
        <f t="shared" si="62"/>
        <v>1</v>
      </c>
      <c r="ER22" s="29">
        <f>IF($FF$34=5,IF(ET15=0,0,1),1)</f>
        <v>1</v>
      </c>
      <c r="ES22" s="257" t="str">
        <f>"ab 5%"</f>
        <v>ab 5%</v>
      </c>
      <c r="ET22" s="128" t="s">
        <v>77</v>
      </c>
      <c r="EU22" s="181">
        <f t="shared" si="63"/>
        <v>-1E-05</v>
      </c>
      <c r="EV22" s="177">
        <f t="shared" si="64"/>
        <v>1</v>
      </c>
      <c r="EW22" s="29">
        <f>IF($FF$34=5,IF(EY15=0,0,1),1)</f>
        <v>1</v>
      </c>
      <c r="EX22" s="257" t="str">
        <f>"ab 5%"</f>
        <v>ab 5%</v>
      </c>
      <c r="EY22" s="128" t="s">
        <v>77</v>
      </c>
      <c r="EZ22" s="181">
        <f t="shared" si="65"/>
        <v>-1E-05</v>
      </c>
      <c r="FA22" s="177">
        <f t="shared" si="66"/>
        <v>1</v>
      </c>
      <c r="FB22" s="29">
        <f>IF($FF$34=5,IF(FD15=0,0,1),1)</f>
        <v>1</v>
      </c>
      <c r="FC22" s="257" t="str">
        <f>"ab 5%"</f>
        <v>ab 5%</v>
      </c>
      <c r="FD22" s="128" t="s">
        <v>77</v>
      </c>
      <c r="FE22" s="181">
        <f t="shared" si="67"/>
        <v>-1E-05</v>
      </c>
      <c r="FF22" s="177">
        <f t="shared" si="68"/>
        <v>1</v>
      </c>
      <c r="FG22" s="29">
        <f>IF($FF$34=5,IF(FI15=0,0,1),1)</f>
        <v>1</v>
      </c>
      <c r="FH22" s="257" t="str">
        <f>"ab 5%"</f>
        <v>ab 5%</v>
      </c>
      <c r="FI22" s="128" t="s">
        <v>77</v>
      </c>
      <c r="FJ22" s="181">
        <f t="shared" si="69"/>
        <v>-1E-05</v>
      </c>
      <c r="FK22" s="177">
        <f t="shared" si="70"/>
        <v>1</v>
      </c>
      <c r="FL22" s="29">
        <f>IF($FF$34=5,IF(FN15=0,0,1),1)</f>
        <v>1</v>
      </c>
      <c r="FM22" s="257" t="str">
        <f>"ab 5%"</f>
        <v>ab 5%</v>
      </c>
      <c r="FN22" s="128" t="s">
        <v>77</v>
      </c>
      <c r="FO22" s="181">
        <f t="shared" si="71"/>
        <v>-1E-05</v>
      </c>
      <c r="FP22" s="177">
        <f t="shared" si="72"/>
        <v>1</v>
      </c>
      <c r="FQ22" s="29">
        <f>IF($FF$34=5,IF(FS15=0,0,1),1)</f>
        <v>1</v>
      </c>
      <c r="FR22" s="257" t="str">
        <f>"ab 5%"</f>
        <v>ab 5%</v>
      </c>
      <c r="FS22" s="128" t="s">
        <v>77</v>
      </c>
      <c r="FT22" s="181">
        <f t="shared" si="73"/>
        <v>-1E-05</v>
      </c>
      <c r="FU22" s="177">
        <f t="shared" si="74"/>
        <v>1</v>
      </c>
      <c r="FV22" s="29">
        <f>IF($FF$34=5,IF(FX15=0,0,1),1)</f>
        <v>1</v>
      </c>
      <c r="FW22" s="257" t="str">
        <f>"ab 5%"</f>
        <v>ab 5%</v>
      </c>
      <c r="FX22" s="128" t="s">
        <v>77</v>
      </c>
      <c r="FY22" s="181">
        <f t="shared" si="75"/>
        <v>-1E-05</v>
      </c>
      <c r="FZ22" s="177">
        <f t="shared" si="76"/>
        <v>1</v>
      </c>
      <c r="GA22" s="29">
        <f>IF($FF$34=5,IF(GC15=0,0,1),1)</f>
        <v>1</v>
      </c>
      <c r="GB22" s="257" t="str">
        <f>"ab 5%"</f>
        <v>ab 5%</v>
      </c>
      <c r="GC22" s="128" t="s">
        <v>77</v>
      </c>
      <c r="GD22" s="181">
        <f t="shared" si="77"/>
        <v>-1E-05</v>
      </c>
      <c r="GE22" s="177">
        <f t="shared" si="78"/>
        <v>1</v>
      </c>
      <c r="GF22" s="29">
        <f>IF($FF$34=5,IF(GH15=0,0,1),1)</f>
        <v>1</v>
      </c>
      <c r="GG22" s="257" t="str">
        <f>"ab 5%"</f>
        <v>ab 5%</v>
      </c>
      <c r="GH22" s="128" t="s">
        <v>77</v>
      </c>
      <c r="GI22" s="181">
        <f t="shared" si="79"/>
        <v>-1E-05</v>
      </c>
      <c r="GJ22" s="177">
        <f t="shared" si="80"/>
        <v>1</v>
      </c>
      <c r="GK22" s="29">
        <f>IF($FF$34=5,IF(GM15=0,0,1),1)</f>
        <v>1</v>
      </c>
      <c r="GL22" s="257" t="str">
        <f>"ab 5%"</f>
        <v>ab 5%</v>
      </c>
      <c r="GM22" s="128" t="s">
        <v>77</v>
      </c>
      <c r="GN22" s="181">
        <f t="shared" si="81"/>
        <v>-1E-05</v>
      </c>
      <c r="GO22" s="177">
        <f t="shared" si="82"/>
        <v>1</v>
      </c>
      <c r="GP22" s="29">
        <f>IF($FF$34=5,IF(GR15=0,0,1),1)</f>
        <v>1</v>
      </c>
      <c r="GQ22" s="257" t="str">
        <f>"ab 5%"</f>
        <v>ab 5%</v>
      </c>
      <c r="GR22" s="128" t="s">
        <v>77</v>
      </c>
      <c r="GS22" s="181">
        <f t="shared" si="83"/>
        <v>-1E-05</v>
      </c>
      <c r="GT22" s="177">
        <f t="shared" si="84"/>
        <v>1</v>
      </c>
      <c r="GU22" s="29">
        <f>IF($FF$34=5,IF(GW15=0,0,1),1)</f>
        <v>1</v>
      </c>
      <c r="GV22" s="257" t="str">
        <f>"ab 5%"</f>
        <v>ab 5%</v>
      </c>
      <c r="GW22" s="128" t="s">
        <v>77</v>
      </c>
      <c r="GX22" s="181">
        <f t="shared" si="85"/>
        <v>-1E-05</v>
      </c>
      <c r="GY22" s="177">
        <f t="shared" si="86"/>
        <v>1</v>
      </c>
      <c r="GZ22" s="29">
        <f>IF($FF$34=5,IF(HB15=0,0,1),1)</f>
        <v>1</v>
      </c>
      <c r="HA22" s="257" t="str">
        <f>"ab 5%"</f>
        <v>ab 5%</v>
      </c>
      <c r="HB22" s="128" t="s">
        <v>77</v>
      </c>
      <c r="HC22" s="181">
        <f t="shared" si="87"/>
        <v>-1E-05</v>
      </c>
      <c r="HD22" s="177">
        <f t="shared" si="88"/>
        <v>1</v>
      </c>
      <c r="HE22" s="29">
        <f>IF($FF$34=5,IF(HG15=0,0,1),1)</f>
        <v>1</v>
      </c>
      <c r="HF22" s="257" t="str">
        <f>"ab 5%"</f>
        <v>ab 5%</v>
      </c>
      <c r="HG22" s="128" t="s">
        <v>77</v>
      </c>
      <c r="HH22" s="181">
        <f t="shared" si="89"/>
        <v>-1E-05</v>
      </c>
      <c r="HI22" s="177">
        <f t="shared" si="90"/>
        <v>1</v>
      </c>
      <c r="HJ22" s="29">
        <f>IF($FF$34=5,IF(HL15=0,0,1),1)</f>
        <v>1</v>
      </c>
      <c r="HK22" s="257" t="str">
        <f>"ab 5%"</f>
        <v>ab 5%</v>
      </c>
      <c r="HL22" s="128" t="s">
        <v>77</v>
      </c>
      <c r="HM22" s="181">
        <f t="shared" si="91"/>
        <v>-1E-05</v>
      </c>
      <c r="HN22" s="177">
        <f t="shared" si="92"/>
        <v>1</v>
      </c>
      <c r="HO22" s="29">
        <f>IF($FF$34=5,IF(HQ15=0,0,1),1)</f>
        <v>1</v>
      </c>
      <c r="HP22" s="257" t="str">
        <f>"ab 5%"</f>
        <v>ab 5%</v>
      </c>
      <c r="HQ22" s="128" t="s">
        <v>77</v>
      </c>
      <c r="HR22" s="181">
        <f t="shared" si="93"/>
        <v>-1E-05</v>
      </c>
      <c r="HS22" s="177">
        <f t="shared" si="94"/>
        <v>1</v>
      </c>
      <c r="HT22" s="29">
        <f>IF($FF$34=5,IF(HV15=0,0,1),1)</f>
        <v>1</v>
      </c>
      <c r="HU22" s="257" t="str">
        <f>"ab 5%"</f>
        <v>ab 5%</v>
      </c>
      <c r="HV22" s="128" t="s">
        <v>77</v>
      </c>
      <c r="HW22" s="181">
        <f t="shared" si="95"/>
        <v>-1E-05</v>
      </c>
      <c r="HX22" s="177">
        <f t="shared" si="96"/>
        <v>1</v>
      </c>
      <c r="HY22" s="29">
        <f>IF($FF$34=5,IF(IA15=0,0,1),1)</f>
        <v>1</v>
      </c>
      <c r="HZ22" s="257" t="str">
        <f>"ab 5%"</f>
        <v>ab 5%</v>
      </c>
      <c r="IA22" s="128" t="s">
        <v>77</v>
      </c>
      <c r="IB22" s="181">
        <f t="shared" si="97"/>
        <v>-1E-05</v>
      </c>
      <c r="IC22" s="177">
        <f t="shared" si="98"/>
        <v>1</v>
      </c>
      <c r="ID22" s="29">
        <f>IF($FF$34=5,IF(IF15=0,0,1),1)</f>
        <v>1</v>
      </c>
      <c r="IE22" s="257" t="str">
        <f>"ab 5%"</f>
        <v>ab 5%</v>
      </c>
      <c r="IF22" s="128" t="s">
        <v>77</v>
      </c>
      <c r="IG22" s="181">
        <f t="shared" si="99"/>
        <v>-1E-05</v>
      </c>
      <c r="IH22" s="177">
        <f t="shared" si="100"/>
        <v>1</v>
      </c>
      <c r="II22" s="29">
        <f>IF($FF$34=5,IF(IK15=0,0,1),1)</f>
        <v>1</v>
      </c>
      <c r="IJ22" s="257" t="str">
        <f>"ab 5%"</f>
        <v>ab 5%</v>
      </c>
      <c r="IK22" s="128" t="s">
        <v>77</v>
      </c>
      <c r="IL22" s="61"/>
    </row>
    <row r="23" spans="1:246" ht="12" customHeight="1">
      <c r="A23" s="60"/>
      <c r="B23" s="6" t="s">
        <v>112</v>
      </c>
      <c r="C23" s="172"/>
      <c r="D23" s="3"/>
      <c r="E23" s="126" t="s">
        <v>113</v>
      </c>
      <c r="F23" s="100"/>
      <c r="H23" s="10" t="str">
        <f>IF(J7="ja","-",IF(J7="-","-","(Mg) Hornblenden, Pyroxene (außer"))</f>
        <v>(Mg) Hornblenden, Pyroxene (außer</v>
      </c>
      <c r="I23" s="3"/>
      <c r="J23" s="6"/>
      <c r="L23" s="10" t="str">
        <f>IF(C45&lt;3,IF(N6="ja",IF(N7="ja","(Fe&lt;3) Talk, ev. Fe-armer Anthoph.!!","-"),"-"),IF(C45&gt;6,"(Fe&gt;6) Bronzit","(Fe&gt;3) ev. Fe-reicher Talk !!"))</f>
        <v>(Fe&lt;3) Talk, ev. Fe-armer Anthoph.!!</v>
      </c>
      <c r="M23" s="3"/>
      <c r="N23" s="6"/>
      <c r="P23" s="10" t="str">
        <f>IF(R7="ja","-",IF(R7="-","-",IF(C38&lt;6.5,"   Ägirinaug., Pig.aug.(Fe), Epi.-Pu.","-")))</f>
        <v>-</v>
      </c>
      <c r="Q23" s="3"/>
      <c r="R23" s="6"/>
      <c r="T23" s="10" t="str">
        <f>IF(V9="ja","-",IF(V9="-","-","   einige Glimmer, Saponit"))</f>
        <v>   einige Glimmer, Saponit</v>
      </c>
      <c r="U23" s="3"/>
      <c r="V23" s="6"/>
      <c r="X23" s="229">
        <f>IF($Q$35="j",$FI$54-1,IF($Q$35="m",$EZ$55-1,IF($Q$35="a",$FI$63,$M$35)))</f>
        <v>-1</v>
      </c>
      <c r="Y23" s="128" t="s">
        <v>79</v>
      </c>
      <c r="Z23" s="181">
        <f t="shared" si="13"/>
        <v>-1E-05</v>
      </c>
      <c r="AA23" s="177">
        <f t="shared" si="14"/>
        <v>1</v>
      </c>
      <c r="AB23" s="29">
        <f>IF($FF$34=6,IF(AD15=0,0,1),1)</f>
        <v>1</v>
      </c>
      <c r="AC23" s="257" t="str">
        <f>"ab 6%"</f>
        <v>ab 6%</v>
      </c>
      <c r="AD23" s="128" t="s">
        <v>79</v>
      </c>
      <c r="AE23" s="181">
        <f t="shared" si="15"/>
        <v>-1E-05</v>
      </c>
      <c r="AF23" s="177">
        <f t="shared" si="16"/>
        <v>1</v>
      </c>
      <c r="AG23" s="29">
        <f>IF($FF$34=6,IF(AI15=0,0,1),1)</f>
        <v>1</v>
      </c>
      <c r="AH23" s="257" t="str">
        <f>"ab 6%"</f>
        <v>ab 6%</v>
      </c>
      <c r="AI23" s="128" t="s">
        <v>79</v>
      </c>
      <c r="AJ23" s="181">
        <f t="shared" si="17"/>
        <v>-1E-05</v>
      </c>
      <c r="AK23" s="177">
        <f t="shared" si="18"/>
        <v>1</v>
      </c>
      <c r="AL23" s="29">
        <f>IF($FF$34=6,IF(AN15=0,0,1),1)</f>
        <v>1</v>
      </c>
      <c r="AM23" s="257" t="str">
        <f>"ab 6%"</f>
        <v>ab 6%</v>
      </c>
      <c r="AN23" s="128" t="s">
        <v>79</v>
      </c>
      <c r="AO23" s="181">
        <f t="shared" si="19"/>
        <v>-1E-05</v>
      </c>
      <c r="AP23" s="177">
        <f t="shared" si="20"/>
        <v>1</v>
      </c>
      <c r="AQ23" s="29">
        <f>IF($FF$34=6,IF(AS15=0,0,1),1)</f>
        <v>1</v>
      </c>
      <c r="AR23" s="257" t="str">
        <f>"ab 6%"</f>
        <v>ab 6%</v>
      </c>
      <c r="AS23" s="128" t="s">
        <v>79</v>
      </c>
      <c r="AT23" s="181">
        <f t="shared" si="21"/>
        <v>-1E-05</v>
      </c>
      <c r="AU23" s="177">
        <f t="shared" si="22"/>
        <v>1</v>
      </c>
      <c r="AV23" s="29">
        <f>IF($FF$34=6,IF(AX15=0,0,1),1)</f>
        <v>1</v>
      </c>
      <c r="AW23" s="257" t="str">
        <f>"ab 6%"</f>
        <v>ab 6%</v>
      </c>
      <c r="AX23" s="128" t="s">
        <v>79</v>
      </c>
      <c r="AY23" s="181">
        <f t="shared" si="23"/>
        <v>-1E-05</v>
      </c>
      <c r="AZ23" s="177">
        <f t="shared" si="24"/>
        <v>1</v>
      </c>
      <c r="BA23" s="29">
        <f>IF($FF$34=6,IF(BC15=0,0,1),1)</f>
        <v>1</v>
      </c>
      <c r="BB23" s="257" t="str">
        <f>"ab 6%"</f>
        <v>ab 6%</v>
      </c>
      <c r="BC23" s="128" t="s">
        <v>79</v>
      </c>
      <c r="BD23" s="181">
        <f t="shared" si="25"/>
        <v>-1E-05</v>
      </c>
      <c r="BE23" s="177">
        <f t="shared" si="26"/>
        <v>1</v>
      </c>
      <c r="BF23" s="29">
        <f>IF($FF$34=6,IF(BH15=0,0,1),1)</f>
        <v>1</v>
      </c>
      <c r="BG23" s="257" t="str">
        <f>"ab 6%"</f>
        <v>ab 6%</v>
      </c>
      <c r="BH23" s="128" t="s">
        <v>79</v>
      </c>
      <c r="BI23" s="181">
        <f t="shared" si="27"/>
        <v>-1E-05</v>
      </c>
      <c r="BJ23" s="177">
        <f t="shared" si="28"/>
        <v>1</v>
      </c>
      <c r="BK23" s="29">
        <f>IF($FF$34=6,IF(BM15=0,0,1),1)</f>
        <v>1</v>
      </c>
      <c r="BL23" s="257" t="str">
        <f>"ab 6%"</f>
        <v>ab 6%</v>
      </c>
      <c r="BM23" s="128" t="s">
        <v>79</v>
      </c>
      <c r="BN23" s="181">
        <f t="shared" si="29"/>
        <v>-1E-05</v>
      </c>
      <c r="BO23" s="177">
        <f t="shared" si="30"/>
        <v>1</v>
      </c>
      <c r="BP23" s="29">
        <f>IF($FF$34=6,IF(BR15=0,0,1),1)</f>
        <v>1</v>
      </c>
      <c r="BQ23" s="257" t="str">
        <f>"ab 6%"</f>
        <v>ab 6%</v>
      </c>
      <c r="BR23" s="128" t="s">
        <v>79</v>
      </c>
      <c r="BS23" s="181">
        <f t="shared" si="31"/>
        <v>-1E-05</v>
      </c>
      <c r="BT23" s="177">
        <f t="shared" si="32"/>
        <v>1</v>
      </c>
      <c r="BU23" s="29">
        <f>IF($FF$34=6,IF(BW15=0,0,1),1)</f>
        <v>1</v>
      </c>
      <c r="BV23" s="257" t="str">
        <f>"ab 6%"</f>
        <v>ab 6%</v>
      </c>
      <c r="BW23" s="128" t="s">
        <v>79</v>
      </c>
      <c r="BX23" s="181">
        <f t="shared" si="33"/>
        <v>-1E-05</v>
      </c>
      <c r="BY23" s="177">
        <f t="shared" si="34"/>
        <v>1</v>
      </c>
      <c r="BZ23" s="29">
        <f>IF($FF$34=6,IF(CB15=0,0,1),1)</f>
        <v>1</v>
      </c>
      <c r="CA23" s="257" t="str">
        <f>"ab 6%"</f>
        <v>ab 6%</v>
      </c>
      <c r="CB23" s="128" t="s">
        <v>79</v>
      </c>
      <c r="CC23" s="181">
        <f t="shared" si="35"/>
        <v>-1E-05</v>
      </c>
      <c r="CD23" s="177">
        <f t="shared" si="36"/>
        <v>1</v>
      </c>
      <c r="CE23" s="29">
        <f>IF($FF$34=6,IF(CG15=0,0,1),1)</f>
        <v>1</v>
      </c>
      <c r="CF23" s="257" t="str">
        <f>"ab 6%"</f>
        <v>ab 6%</v>
      </c>
      <c r="CG23" s="128" t="s">
        <v>79</v>
      </c>
      <c r="CH23" s="181">
        <f t="shared" si="37"/>
        <v>-1E-05</v>
      </c>
      <c r="CI23" s="177">
        <f t="shared" si="38"/>
        <v>1</v>
      </c>
      <c r="CJ23" s="29">
        <f>IF($FF$34=6,IF(CL15=0,0,1),1)</f>
        <v>1</v>
      </c>
      <c r="CK23" s="257" t="str">
        <f>"ab 6%"</f>
        <v>ab 6%</v>
      </c>
      <c r="CL23" s="128" t="s">
        <v>79</v>
      </c>
      <c r="CM23" s="181">
        <f t="shared" si="39"/>
        <v>-1E-05</v>
      </c>
      <c r="CN23" s="177">
        <f t="shared" si="40"/>
        <v>1</v>
      </c>
      <c r="CO23" s="29">
        <f>IF($FF$34=6,IF(CQ15=0,0,1),1)</f>
        <v>1</v>
      </c>
      <c r="CP23" s="257" t="str">
        <f>"ab 6%"</f>
        <v>ab 6%</v>
      </c>
      <c r="CQ23" s="128" t="s">
        <v>79</v>
      </c>
      <c r="CR23" s="181">
        <f t="shared" si="41"/>
        <v>-1E-05</v>
      </c>
      <c r="CS23" s="177">
        <f t="shared" si="42"/>
        <v>1</v>
      </c>
      <c r="CT23" s="29">
        <f>IF($FF$34=6,IF(CV15=0,0,1),1)</f>
        <v>1</v>
      </c>
      <c r="CU23" s="257" t="str">
        <f>"ab 6%"</f>
        <v>ab 6%</v>
      </c>
      <c r="CV23" s="128" t="s">
        <v>79</v>
      </c>
      <c r="CW23" s="181">
        <f t="shared" si="43"/>
        <v>-1E-05</v>
      </c>
      <c r="CX23" s="177">
        <f t="shared" si="44"/>
        <v>1</v>
      </c>
      <c r="CY23" s="29">
        <f>IF($FF$34=6,IF(DA15=0,0,1),1)</f>
        <v>1</v>
      </c>
      <c r="CZ23" s="257" t="str">
        <f>"ab 6%"</f>
        <v>ab 6%</v>
      </c>
      <c r="DA23" s="128" t="s">
        <v>79</v>
      </c>
      <c r="DB23" s="181">
        <f t="shared" si="45"/>
        <v>-1E-05</v>
      </c>
      <c r="DC23" s="177">
        <f t="shared" si="46"/>
        <v>2</v>
      </c>
      <c r="DD23" s="29">
        <f>IF($FF$34=6,IF(DF15=0,0,1),1)</f>
        <v>1</v>
      </c>
      <c r="DE23" s="257" t="str">
        <f>"ab 6%"</f>
        <v>ab 6%</v>
      </c>
      <c r="DF23" s="128" t="s">
        <v>79</v>
      </c>
      <c r="DG23" s="181">
        <f t="shared" si="47"/>
        <v>-1E-05</v>
      </c>
      <c r="DH23" s="177">
        <f t="shared" si="48"/>
        <v>2</v>
      </c>
      <c r="DI23" s="29">
        <f>IF($FF$34=6,IF(DK15=0,0,1),1)</f>
        <v>1</v>
      </c>
      <c r="DJ23" s="257" t="str">
        <f>"ab 6%"</f>
        <v>ab 6%</v>
      </c>
      <c r="DK23" s="128" t="s">
        <v>79</v>
      </c>
      <c r="DL23" s="181">
        <f t="shared" si="49"/>
        <v>-1E-05</v>
      </c>
      <c r="DM23" s="177">
        <f t="shared" si="50"/>
        <v>2</v>
      </c>
      <c r="DN23" s="29">
        <f>IF($FF$34=6,IF(DP15=0,0,1),1)</f>
        <v>1</v>
      </c>
      <c r="DO23" s="257" t="str">
        <f>"ab 6%"</f>
        <v>ab 6%</v>
      </c>
      <c r="DP23" s="128" t="s">
        <v>79</v>
      </c>
      <c r="DQ23" s="181">
        <f t="shared" si="51"/>
        <v>-1E-05</v>
      </c>
      <c r="DR23" s="177">
        <f t="shared" si="52"/>
        <v>2</v>
      </c>
      <c r="DS23" s="29">
        <f>IF($FF$34=6,IF(DU15=0,0,1),1)</f>
        <v>1</v>
      </c>
      <c r="DT23" s="257" t="str">
        <f>"ab 6%"</f>
        <v>ab 6%</v>
      </c>
      <c r="DU23" s="128" t="s">
        <v>79</v>
      </c>
      <c r="DV23" s="181">
        <f t="shared" si="53"/>
        <v>-1E-05</v>
      </c>
      <c r="DW23" s="177">
        <f t="shared" si="54"/>
        <v>2</v>
      </c>
      <c r="DX23" s="29">
        <f>IF($FF$34=6,IF(DZ15=0,0,1),1)</f>
        <v>1</v>
      </c>
      <c r="DY23" s="257" t="str">
        <f>"ab 6%"</f>
        <v>ab 6%</v>
      </c>
      <c r="DZ23" s="128" t="s">
        <v>79</v>
      </c>
      <c r="EA23" s="181">
        <f t="shared" si="55"/>
        <v>-1E-05</v>
      </c>
      <c r="EB23" s="177">
        <f t="shared" si="56"/>
        <v>2</v>
      </c>
      <c r="EC23" s="29">
        <f>IF($FF$34=6,IF(EE15=0,0,1),1)</f>
        <v>1</v>
      </c>
      <c r="ED23" s="257" t="str">
        <f>"ab 6%"</f>
        <v>ab 6%</v>
      </c>
      <c r="EE23" s="128" t="s">
        <v>79</v>
      </c>
      <c r="EF23" s="181">
        <f t="shared" si="57"/>
        <v>-1E-05</v>
      </c>
      <c r="EG23" s="177">
        <f t="shared" si="58"/>
        <v>1</v>
      </c>
      <c r="EH23" s="29">
        <f>IF($FF$34=6,IF(EJ15=0,0,1),1)</f>
        <v>1</v>
      </c>
      <c r="EI23" s="257" t="str">
        <f>"ab 6%"</f>
        <v>ab 6%</v>
      </c>
      <c r="EJ23" s="128" t="s">
        <v>79</v>
      </c>
      <c r="EK23" s="181">
        <f t="shared" si="59"/>
        <v>-1E-05</v>
      </c>
      <c r="EL23" s="177">
        <f t="shared" si="60"/>
        <v>1</v>
      </c>
      <c r="EM23" s="29">
        <f>IF($FF$34=6,IF(EO15=0,0,1),1)</f>
        <v>1</v>
      </c>
      <c r="EN23" s="257" t="str">
        <f>"ab 6%"</f>
        <v>ab 6%</v>
      </c>
      <c r="EO23" s="128" t="s">
        <v>79</v>
      </c>
      <c r="EP23" s="181">
        <f t="shared" si="61"/>
        <v>-1E-05</v>
      </c>
      <c r="EQ23" s="177">
        <f t="shared" si="62"/>
        <v>1</v>
      </c>
      <c r="ER23" s="29">
        <f>IF($FF$34=6,IF(ET15=0,0,1),1)</f>
        <v>1</v>
      </c>
      <c r="ES23" s="257" t="str">
        <f>"ab 6%"</f>
        <v>ab 6%</v>
      </c>
      <c r="ET23" s="128" t="s">
        <v>79</v>
      </c>
      <c r="EU23" s="181">
        <f t="shared" si="63"/>
        <v>-1E-05</v>
      </c>
      <c r="EV23" s="177">
        <f t="shared" si="64"/>
        <v>1</v>
      </c>
      <c r="EW23" s="29">
        <f>IF($FF$34=6,IF(EY15=0,0,1),1)</f>
        <v>1</v>
      </c>
      <c r="EX23" s="257" t="str">
        <f>"ab 6%"</f>
        <v>ab 6%</v>
      </c>
      <c r="EY23" s="128" t="s">
        <v>79</v>
      </c>
      <c r="EZ23" s="181">
        <f t="shared" si="65"/>
        <v>-1E-05</v>
      </c>
      <c r="FA23" s="177">
        <f t="shared" si="66"/>
        <v>1</v>
      </c>
      <c r="FB23" s="29">
        <f>IF($FF$34=6,IF(FD15=0,0,1),1)</f>
        <v>1</v>
      </c>
      <c r="FC23" s="257" t="str">
        <f>"ab 6%"</f>
        <v>ab 6%</v>
      </c>
      <c r="FD23" s="128" t="s">
        <v>79</v>
      </c>
      <c r="FE23" s="181">
        <f t="shared" si="67"/>
        <v>-1E-05</v>
      </c>
      <c r="FF23" s="177">
        <f t="shared" si="68"/>
        <v>1</v>
      </c>
      <c r="FG23" s="29">
        <f>IF($FF$34=6,IF(FI15=0,0,1),1)</f>
        <v>1</v>
      </c>
      <c r="FH23" s="257" t="str">
        <f>"ab 6%"</f>
        <v>ab 6%</v>
      </c>
      <c r="FI23" s="128" t="s">
        <v>79</v>
      </c>
      <c r="FJ23" s="181">
        <f t="shared" si="69"/>
        <v>-1E-05</v>
      </c>
      <c r="FK23" s="177">
        <f t="shared" si="70"/>
        <v>1</v>
      </c>
      <c r="FL23" s="29">
        <f>IF($FF$34=6,IF(FN15=0,0,1),1)</f>
        <v>1</v>
      </c>
      <c r="FM23" s="257" t="str">
        <f>"ab 6%"</f>
        <v>ab 6%</v>
      </c>
      <c r="FN23" s="128" t="s">
        <v>79</v>
      </c>
      <c r="FO23" s="181">
        <f t="shared" si="71"/>
        <v>-1E-05</v>
      </c>
      <c r="FP23" s="177">
        <f t="shared" si="72"/>
        <v>1</v>
      </c>
      <c r="FQ23" s="29">
        <f>IF($FF$34=6,IF(FS15=0,0,1),1)</f>
        <v>1</v>
      </c>
      <c r="FR23" s="257" t="str">
        <f>"ab 6%"</f>
        <v>ab 6%</v>
      </c>
      <c r="FS23" s="128" t="s">
        <v>79</v>
      </c>
      <c r="FT23" s="181">
        <f t="shared" si="73"/>
        <v>-1E-05</v>
      </c>
      <c r="FU23" s="177">
        <f t="shared" si="74"/>
        <v>1</v>
      </c>
      <c r="FV23" s="29">
        <f>IF($FF$34=6,IF(FX15=0,0,1),1)</f>
        <v>1</v>
      </c>
      <c r="FW23" s="257" t="str">
        <f>"ab 6%"</f>
        <v>ab 6%</v>
      </c>
      <c r="FX23" s="128" t="s">
        <v>79</v>
      </c>
      <c r="FY23" s="181">
        <f t="shared" si="75"/>
        <v>6</v>
      </c>
      <c r="FZ23" s="177">
        <f t="shared" si="76"/>
        <v>13.5</v>
      </c>
      <c r="GA23" s="29">
        <f>IF($FF$34=6,IF(GC15=0,0,1),1)</f>
        <v>1</v>
      </c>
      <c r="GB23" s="257" t="str">
        <f>"ab 6%"</f>
        <v>ab 6%</v>
      </c>
      <c r="GC23" s="128" t="s">
        <v>79</v>
      </c>
      <c r="GD23" s="181">
        <f t="shared" si="77"/>
        <v>6</v>
      </c>
      <c r="GE23" s="177">
        <f t="shared" si="78"/>
        <v>13</v>
      </c>
      <c r="GF23" s="29">
        <f>IF($FF$34=6,IF(GH15=0,0,1),1)</f>
        <v>1</v>
      </c>
      <c r="GG23" s="257" t="str">
        <f>"ab 6%"</f>
        <v>ab 6%</v>
      </c>
      <c r="GH23" s="128" t="s">
        <v>79</v>
      </c>
      <c r="GI23" s="181">
        <f t="shared" si="79"/>
        <v>5.5</v>
      </c>
      <c r="GJ23" s="177">
        <f t="shared" si="80"/>
        <v>12.5</v>
      </c>
      <c r="GK23" s="29">
        <f>IF($FF$34=6,IF(GM15=0,0,1),1)</f>
        <v>1</v>
      </c>
      <c r="GL23" s="257" t="str">
        <f>"ab 6%"</f>
        <v>ab 6%</v>
      </c>
      <c r="GM23" s="128" t="s">
        <v>79</v>
      </c>
      <c r="GN23" s="181">
        <f t="shared" si="81"/>
        <v>5.5</v>
      </c>
      <c r="GO23" s="177">
        <f t="shared" si="82"/>
        <v>12</v>
      </c>
      <c r="GP23" s="29">
        <f>IF($FF$34=6,IF(GR15=0,0,1),1)</f>
        <v>1</v>
      </c>
      <c r="GQ23" s="257" t="str">
        <f>"ab 6%"</f>
        <v>ab 6%</v>
      </c>
      <c r="GR23" s="128" t="s">
        <v>79</v>
      </c>
      <c r="GS23" s="181">
        <f t="shared" si="83"/>
        <v>-1E-05</v>
      </c>
      <c r="GT23" s="177">
        <f t="shared" si="84"/>
        <v>1</v>
      </c>
      <c r="GU23" s="29">
        <f>IF($FF$34=6,IF(GW15=0,0,1),1)</f>
        <v>1</v>
      </c>
      <c r="GV23" s="257" t="str">
        <f>"ab 6%"</f>
        <v>ab 6%</v>
      </c>
      <c r="GW23" s="128" t="s">
        <v>79</v>
      </c>
      <c r="GX23" s="181">
        <f t="shared" si="85"/>
        <v>-1E-05</v>
      </c>
      <c r="GY23" s="177">
        <f t="shared" si="86"/>
        <v>1</v>
      </c>
      <c r="GZ23" s="29">
        <f>IF($FF$34=6,IF(HB15=0,0,1),1)</f>
        <v>1</v>
      </c>
      <c r="HA23" s="257" t="str">
        <f>"ab 6%"</f>
        <v>ab 6%</v>
      </c>
      <c r="HB23" s="128" t="s">
        <v>79</v>
      </c>
      <c r="HC23" s="181">
        <f t="shared" si="87"/>
        <v>-1E-05</v>
      </c>
      <c r="HD23" s="177">
        <f t="shared" si="88"/>
        <v>2</v>
      </c>
      <c r="HE23" s="29">
        <f>IF($FF$34=6,IF(HG15=0,0,1),1)</f>
        <v>1</v>
      </c>
      <c r="HF23" s="257" t="str">
        <f>"ab 6%"</f>
        <v>ab 6%</v>
      </c>
      <c r="HG23" s="128" t="s">
        <v>79</v>
      </c>
      <c r="HH23" s="181">
        <f t="shared" si="89"/>
        <v>-1E-05</v>
      </c>
      <c r="HI23" s="177">
        <f t="shared" si="90"/>
        <v>1</v>
      </c>
      <c r="HJ23" s="29">
        <f>IF($FF$34=6,IF(HL15=0,0,1),1)</f>
        <v>1</v>
      </c>
      <c r="HK23" s="257" t="str">
        <f>"ab 6%"</f>
        <v>ab 6%</v>
      </c>
      <c r="HL23" s="128" t="s">
        <v>79</v>
      </c>
      <c r="HM23" s="181">
        <f t="shared" si="91"/>
        <v>-1E-05</v>
      </c>
      <c r="HN23" s="177">
        <f t="shared" si="92"/>
        <v>1</v>
      </c>
      <c r="HO23" s="29">
        <f>IF($FF$34=6,IF(HQ15=0,0,1),1)</f>
        <v>1</v>
      </c>
      <c r="HP23" s="257" t="str">
        <f>"ab 6%"</f>
        <v>ab 6%</v>
      </c>
      <c r="HQ23" s="128" t="s">
        <v>79</v>
      </c>
      <c r="HR23" s="181">
        <f t="shared" si="93"/>
        <v>-1E-05</v>
      </c>
      <c r="HS23" s="177">
        <f t="shared" si="94"/>
        <v>1</v>
      </c>
      <c r="HT23" s="29">
        <f>IF($FF$34=6,IF(HV15=0,0,1),1)</f>
        <v>1</v>
      </c>
      <c r="HU23" s="257" t="str">
        <f>"ab 6%"</f>
        <v>ab 6%</v>
      </c>
      <c r="HV23" s="128" t="s">
        <v>79</v>
      </c>
      <c r="HW23" s="181">
        <f t="shared" si="95"/>
        <v>-1E-05</v>
      </c>
      <c r="HX23" s="177">
        <f t="shared" si="96"/>
        <v>1</v>
      </c>
      <c r="HY23" s="29">
        <f>IF($FF$34=6,IF(IA15=0,0,1),1)</f>
        <v>1</v>
      </c>
      <c r="HZ23" s="257" t="str">
        <f>"ab 6%"</f>
        <v>ab 6%</v>
      </c>
      <c r="IA23" s="128" t="s">
        <v>79</v>
      </c>
      <c r="IB23" s="181">
        <f t="shared" si="97"/>
        <v>-1E-05</v>
      </c>
      <c r="IC23" s="177">
        <f t="shared" si="98"/>
        <v>1</v>
      </c>
      <c r="ID23" s="29">
        <f>IF($FF$34=6,IF(IF15=0,0,1),1)</f>
        <v>1</v>
      </c>
      <c r="IE23" s="257" t="str">
        <f>"ab 6%"</f>
        <v>ab 6%</v>
      </c>
      <c r="IF23" s="128" t="s">
        <v>79</v>
      </c>
      <c r="IG23" s="181">
        <f t="shared" si="99"/>
        <v>-1E-05</v>
      </c>
      <c r="IH23" s="177">
        <f t="shared" si="100"/>
        <v>1</v>
      </c>
      <c r="II23" s="29">
        <f>IF($FF$34=6,IF(IK15=0,0,1),1)</f>
        <v>1</v>
      </c>
      <c r="IJ23" s="257" t="str">
        <f>"ab 6%"</f>
        <v>ab 6%</v>
      </c>
      <c r="IK23" s="128" t="s">
        <v>79</v>
      </c>
      <c r="IL23" s="61"/>
    </row>
    <row r="24" spans="1:246" ht="12" customHeight="1">
      <c r="A24" s="60"/>
      <c r="B24" s="6" t="s">
        <v>114</v>
      </c>
      <c r="C24" s="172">
        <v>13.14</v>
      </c>
      <c r="D24" s="3"/>
      <c r="E24" s="126" t="s">
        <v>115</v>
      </c>
      <c r="F24" s="100"/>
      <c r="H24" s="10" t="str">
        <f>IF(J7="ja","-",IF(J7="-","-","   Enstatit), Epi./Zoi./Preh./Pump."))</f>
        <v>   Enstatit), Epi./Zoi./Preh./Pump.</v>
      </c>
      <c r="I24" s="3"/>
      <c r="J24" s="6"/>
      <c r="L24" s="10" t="str">
        <f>IF(C45&lt;6.5,"(Fe&lt;6,5) Enstatit, Saponit",IF(C45&lt;9,"(Fe&lt;9) Saponit",IF(C45&gt;11,"(Fe&gt;11) Pigeonit","-")))</f>
        <v>(Fe&lt;6,5) Enstatit, Saponit</v>
      </c>
      <c r="M24" s="3"/>
      <c r="N24" s="6"/>
      <c r="P24" s="10" t="str">
        <f>IF(R7="ja","-",IF(R7="-","-",IF(C38&lt;4.5,"   Montmorillonit, Nontronit","-")))</f>
        <v>-</v>
      </c>
      <c r="Q24" s="3"/>
      <c r="R24" s="6"/>
      <c r="T24" s="10" t="str">
        <f>IF(V7="ja",IF(C45&lt;14.5,"(Fe&lt;14,5) Pigeonitaugit","-"),IF(V7="-","-","(Fe) Tremolit, Diopsid, Diop.Augit, "))</f>
        <v>(Fe) Tremolit, Diopsid, Diop.Augit, </v>
      </c>
      <c r="U24" s="3"/>
      <c r="V24" s="6"/>
      <c r="X24" s="60"/>
      <c r="Y24" s="128" t="s">
        <v>81</v>
      </c>
      <c r="Z24" s="181">
        <f t="shared" si="13"/>
        <v>-1E-05</v>
      </c>
      <c r="AA24" s="177">
        <f t="shared" si="14"/>
        <v>1</v>
      </c>
      <c r="AB24" s="29">
        <f>IF($FF$34=7,IF(AD15=0,0,1),1)</f>
        <v>1</v>
      </c>
      <c r="AC24" s="257" t="str">
        <f>"ab 7%"</f>
        <v>ab 7%</v>
      </c>
      <c r="AD24" s="128" t="s">
        <v>81</v>
      </c>
      <c r="AE24" s="181">
        <f t="shared" si="15"/>
        <v>-1E-05</v>
      </c>
      <c r="AF24" s="177">
        <f t="shared" si="16"/>
        <v>1</v>
      </c>
      <c r="AG24" s="29">
        <f>IF($FF$34=7,IF(AI15=0,0,1),1)</f>
        <v>1</v>
      </c>
      <c r="AH24" s="257" t="str">
        <f>"ab 7%"</f>
        <v>ab 7%</v>
      </c>
      <c r="AI24" s="128" t="s">
        <v>81</v>
      </c>
      <c r="AJ24" s="181">
        <f t="shared" si="17"/>
        <v>15.5</v>
      </c>
      <c r="AK24" s="177">
        <f t="shared" si="18"/>
        <v>21.5</v>
      </c>
      <c r="AL24" s="29">
        <f>IF($FF$34=7,IF(AN15=0,0,1),1)</f>
        <v>1</v>
      </c>
      <c r="AM24" s="257" t="str">
        <f>"ab 7%"</f>
        <v>ab 7%</v>
      </c>
      <c r="AN24" s="128" t="s">
        <v>81</v>
      </c>
      <c r="AO24" s="181">
        <f t="shared" si="19"/>
        <v>13</v>
      </c>
      <c r="AP24" s="177">
        <f t="shared" si="20"/>
        <v>19</v>
      </c>
      <c r="AQ24" s="29">
        <f>IF($FF$34=7,IF(AS15=0,0,1),1)</f>
        <v>1</v>
      </c>
      <c r="AR24" s="257" t="str">
        <f>"ab 7%"</f>
        <v>ab 7%</v>
      </c>
      <c r="AS24" s="128" t="s">
        <v>81</v>
      </c>
      <c r="AT24" s="181">
        <f t="shared" si="21"/>
        <v>13</v>
      </c>
      <c r="AU24" s="177">
        <f t="shared" si="22"/>
        <v>18.5</v>
      </c>
      <c r="AV24" s="29">
        <f>IF($FF$34=7,IF(AX15=0,0,1),1)</f>
        <v>1</v>
      </c>
      <c r="AW24" s="257" t="str">
        <f>"ab 7%"</f>
        <v>ab 7%</v>
      </c>
      <c r="AX24" s="128" t="s">
        <v>81</v>
      </c>
      <c r="AY24" s="181">
        <f t="shared" si="23"/>
        <v>3.5</v>
      </c>
      <c r="AZ24" s="177">
        <f t="shared" si="24"/>
        <v>9.5</v>
      </c>
      <c r="BA24" s="29">
        <f>IF($FF$34=7,IF(BC15=0,0,1),1)</f>
        <v>1</v>
      </c>
      <c r="BB24" s="257" t="str">
        <f>"ab 7%"</f>
        <v>ab 7%</v>
      </c>
      <c r="BC24" s="128" t="s">
        <v>81</v>
      </c>
      <c r="BD24" s="181">
        <f t="shared" si="25"/>
        <v>10.5</v>
      </c>
      <c r="BE24" s="177">
        <f t="shared" si="26"/>
        <v>16.5</v>
      </c>
      <c r="BF24" s="29">
        <f>IF($FF$34=7,IF(BH15=0,0,1),1)</f>
        <v>1</v>
      </c>
      <c r="BG24" s="257" t="str">
        <f>"ab 7%"</f>
        <v>ab 7%</v>
      </c>
      <c r="BH24" s="128" t="s">
        <v>81</v>
      </c>
      <c r="BI24" s="181">
        <f t="shared" si="27"/>
        <v>10</v>
      </c>
      <c r="BJ24" s="177">
        <f t="shared" si="28"/>
        <v>16</v>
      </c>
      <c r="BK24" s="29">
        <f>IF($FF$34=7,IF(BM15=0,0,1),1)</f>
        <v>1</v>
      </c>
      <c r="BL24" s="257" t="str">
        <f>"ab 7%"</f>
        <v>ab 7%</v>
      </c>
      <c r="BM24" s="128" t="s">
        <v>81</v>
      </c>
      <c r="BN24" s="181">
        <f t="shared" si="29"/>
        <v>7</v>
      </c>
      <c r="BO24" s="177">
        <f t="shared" si="30"/>
        <v>13</v>
      </c>
      <c r="BP24" s="29">
        <f>IF($FF$34=7,IF(BR15=0,0,1),1)</f>
        <v>1</v>
      </c>
      <c r="BQ24" s="257" t="str">
        <f>"ab 7%"</f>
        <v>ab 7%</v>
      </c>
      <c r="BR24" s="128" t="s">
        <v>81</v>
      </c>
      <c r="BS24" s="181">
        <f t="shared" si="31"/>
        <v>6.5</v>
      </c>
      <c r="BT24" s="177">
        <f t="shared" si="32"/>
        <v>12.5</v>
      </c>
      <c r="BU24" s="29">
        <f>IF($FF$34=7,IF(BW15=0,0,1),1)</f>
        <v>1</v>
      </c>
      <c r="BV24" s="257" t="str">
        <f>"ab 7%"</f>
        <v>ab 7%</v>
      </c>
      <c r="BW24" s="128" t="s">
        <v>81</v>
      </c>
      <c r="BX24" s="181">
        <f t="shared" si="33"/>
        <v>2</v>
      </c>
      <c r="BY24" s="177">
        <f t="shared" si="34"/>
        <v>5.5</v>
      </c>
      <c r="BZ24" s="29">
        <f>IF($FF$34=7,IF(CB15=0,0,1),1)</f>
        <v>1</v>
      </c>
      <c r="CA24" s="257" t="str">
        <f>"ab 7%"</f>
        <v>ab 7%</v>
      </c>
      <c r="CB24" s="128" t="s">
        <v>81</v>
      </c>
      <c r="CC24" s="181">
        <f t="shared" si="35"/>
        <v>2</v>
      </c>
      <c r="CD24" s="177">
        <f t="shared" si="36"/>
        <v>5.5</v>
      </c>
      <c r="CE24" s="29">
        <f>IF($FF$34=7,IF(CG15=0,0,1),1)</f>
        <v>1</v>
      </c>
      <c r="CF24" s="257" t="str">
        <f>"ab 7%"</f>
        <v>ab 7%</v>
      </c>
      <c r="CG24" s="128" t="s">
        <v>81</v>
      </c>
      <c r="CH24" s="181">
        <f t="shared" si="37"/>
        <v>-1E-05</v>
      </c>
      <c r="CI24" s="177">
        <f t="shared" si="38"/>
        <v>1</v>
      </c>
      <c r="CJ24" s="29">
        <f>IF($FF$34=7,IF(CL15=0,0,1),1)</f>
        <v>1</v>
      </c>
      <c r="CK24" s="257" t="str">
        <f>"ab 7%"</f>
        <v>ab 7%</v>
      </c>
      <c r="CL24" s="128" t="s">
        <v>81</v>
      </c>
      <c r="CM24" s="181">
        <f t="shared" si="39"/>
        <v>-1E-05</v>
      </c>
      <c r="CN24" s="177">
        <f t="shared" si="40"/>
        <v>1</v>
      </c>
      <c r="CO24" s="29">
        <f>IF($FF$34=7,IF(CQ15=0,0,1),1)</f>
        <v>1</v>
      </c>
      <c r="CP24" s="257" t="str">
        <f>"ab 7%"</f>
        <v>ab 7%</v>
      </c>
      <c r="CQ24" s="128" t="s">
        <v>81</v>
      </c>
      <c r="CR24" s="181">
        <f t="shared" si="41"/>
        <v>-1E-05</v>
      </c>
      <c r="CS24" s="177">
        <f t="shared" si="42"/>
        <v>1</v>
      </c>
      <c r="CT24" s="29">
        <f>IF($FF$34=7,IF(CV15=0,0,1),1)</f>
        <v>1</v>
      </c>
      <c r="CU24" s="257" t="str">
        <f>"ab 7%"</f>
        <v>ab 7%</v>
      </c>
      <c r="CV24" s="128" t="s">
        <v>81</v>
      </c>
      <c r="CW24" s="181">
        <f t="shared" si="43"/>
        <v>-1E-05</v>
      </c>
      <c r="CX24" s="177">
        <f t="shared" si="44"/>
        <v>1</v>
      </c>
      <c r="CY24" s="29">
        <f>IF($FF$34=7,IF(DA15=0,0,1),1)</f>
        <v>1</v>
      </c>
      <c r="CZ24" s="257" t="str">
        <f>"ab 7%"</f>
        <v>ab 7%</v>
      </c>
      <c r="DA24" s="128" t="s">
        <v>81</v>
      </c>
      <c r="DB24" s="181">
        <f t="shared" si="45"/>
        <v>6.5</v>
      </c>
      <c r="DC24" s="177">
        <f t="shared" si="46"/>
        <v>12.5</v>
      </c>
      <c r="DD24" s="29">
        <f>IF($FF$34=7,IF(DF15=0,0,1),1)</f>
        <v>1</v>
      </c>
      <c r="DE24" s="257" t="str">
        <f>"ab 7%"</f>
        <v>ab 7%</v>
      </c>
      <c r="DF24" s="128" t="s">
        <v>81</v>
      </c>
      <c r="DG24" s="181">
        <f t="shared" si="47"/>
        <v>6</v>
      </c>
      <c r="DH24" s="177">
        <f t="shared" si="48"/>
        <v>12</v>
      </c>
      <c r="DI24" s="29">
        <f>IF($FF$34=7,IF(DK15=0,0,1),1)</f>
        <v>1</v>
      </c>
      <c r="DJ24" s="257" t="str">
        <f>"ab 7%"</f>
        <v>ab 7%</v>
      </c>
      <c r="DK24" s="128" t="s">
        <v>81</v>
      </c>
      <c r="DL24" s="181">
        <f t="shared" si="49"/>
        <v>6.5</v>
      </c>
      <c r="DM24" s="177">
        <f t="shared" si="50"/>
        <v>12.5</v>
      </c>
      <c r="DN24" s="29">
        <f>IF($FF$34=7,IF(DP15=0,0,1),1)</f>
        <v>1</v>
      </c>
      <c r="DO24" s="257" t="str">
        <f>"ab 7%"</f>
        <v>ab 7%</v>
      </c>
      <c r="DP24" s="128" t="s">
        <v>81</v>
      </c>
      <c r="DQ24" s="181">
        <f t="shared" si="51"/>
        <v>6</v>
      </c>
      <c r="DR24" s="177">
        <f t="shared" si="52"/>
        <v>12</v>
      </c>
      <c r="DS24" s="29">
        <f>IF($FF$34=7,IF(DU15=0,0,1),1)</f>
        <v>1</v>
      </c>
      <c r="DT24" s="257" t="str">
        <f>"ab 7%"</f>
        <v>ab 7%</v>
      </c>
      <c r="DU24" s="128" t="s">
        <v>81</v>
      </c>
      <c r="DV24" s="181">
        <f t="shared" si="53"/>
        <v>6.5</v>
      </c>
      <c r="DW24" s="177">
        <f t="shared" si="54"/>
        <v>12.5</v>
      </c>
      <c r="DX24" s="29">
        <f>IF($FF$34=7,IF(DZ15=0,0,1),1)</f>
        <v>1</v>
      </c>
      <c r="DY24" s="257" t="str">
        <f>"ab 7%"</f>
        <v>ab 7%</v>
      </c>
      <c r="DZ24" s="128" t="s">
        <v>81</v>
      </c>
      <c r="EA24" s="181">
        <f t="shared" si="55"/>
        <v>6.5</v>
      </c>
      <c r="EB24" s="177">
        <f t="shared" si="56"/>
        <v>12.5</v>
      </c>
      <c r="EC24" s="29">
        <f>IF($FF$34=7,IF(EE15=0,0,1),1)</f>
        <v>1</v>
      </c>
      <c r="ED24" s="257" t="str">
        <f>"ab 7%"</f>
        <v>ab 7%</v>
      </c>
      <c r="EE24" s="128" t="s">
        <v>81</v>
      </c>
      <c r="EF24" s="181">
        <f t="shared" si="57"/>
        <v>-1E-05</v>
      </c>
      <c r="EG24" s="177">
        <f t="shared" si="58"/>
        <v>1</v>
      </c>
      <c r="EH24" s="29">
        <f>IF($FF$34=7,IF(EJ15=0,0,1),1)</f>
        <v>1</v>
      </c>
      <c r="EI24" s="257" t="str">
        <f>"ab 7%"</f>
        <v>ab 7%</v>
      </c>
      <c r="EJ24" s="128" t="s">
        <v>81</v>
      </c>
      <c r="EK24" s="181">
        <f t="shared" si="59"/>
        <v>-1E-05</v>
      </c>
      <c r="EL24" s="177">
        <f t="shared" si="60"/>
        <v>1</v>
      </c>
      <c r="EM24" s="29">
        <f>IF($FF$34=7,IF(EO15=0,0,1),1)</f>
        <v>1</v>
      </c>
      <c r="EN24" s="257" t="str">
        <f>"ab 7%"</f>
        <v>ab 7%</v>
      </c>
      <c r="EO24" s="128" t="s">
        <v>81</v>
      </c>
      <c r="EP24" s="181">
        <f t="shared" si="61"/>
        <v>-1E-05</v>
      </c>
      <c r="EQ24" s="177">
        <f t="shared" si="62"/>
        <v>1</v>
      </c>
      <c r="ER24" s="29">
        <f>IF($FF$34=7,IF(ET15=0,0,1),1)</f>
        <v>1</v>
      </c>
      <c r="ES24" s="257" t="str">
        <f>"ab 7%"</f>
        <v>ab 7%</v>
      </c>
      <c r="ET24" s="128" t="s">
        <v>81</v>
      </c>
      <c r="EU24" s="181">
        <f t="shared" si="63"/>
        <v>-1E-05</v>
      </c>
      <c r="EV24" s="177">
        <f t="shared" si="64"/>
        <v>1</v>
      </c>
      <c r="EW24" s="29">
        <f>IF($FF$34=7,IF(EY15=0,0,1),1)</f>
        <v>1</v>
      </c>
      <c r="EX24" s="257" t="str">
        <f>"ab 7%"</f>
        <v>ab 7%</v>
      </c>
      <c r="EY24" s="128" t="s">
        <v>81</v>
      </c>
      <c r="EZ24" s="181">
        <f t="shared" si="65"/>
        <v>-1E-05</v>
      </c>
      <c r="FA24" s="177">
        <f t="shared" si="66"/>
        <v>1</v>
      </c>
      <c r="FB24" s="29">
        <f>IF($FF$34=7,IF(FD15=0,0,1),1)</f>
        <v>1</v>
      </c>
      <c r="FC24" s="257" t="str">
        <f>"ab 7%"</f>
        <v>ab 7%</v>
      </c>
      <c r="FD24" s="128" t="s">
        <v>81</v>
      </c>
      <c r="FE24" s="181">
        <f t="shared" si="67"/>
        <v>-1E-05</v>
      </c>
      <c r="FF24" s="177">
        <f t="shared" si="68"/>
        <v>1</v>
      </c>
      <c r="FG24" s="29">
        <f>IF($FF$34=7,IF(FI15=0,0,1),1)</f>
        <v>1</v>
      </c>
      <c r="FH24" s="257" t="str">
        <f>"ab 7%"</f>
        <v>ab 7%</v>
      </c>
      <c r="FI24" s="128" t="s">
        <v>81</v>
      </c>
      <c r="FJ24" s="181">
        <f>IF($Q$35="n",FJ11-FJ11/100*$M$35,FJ11-FJ11/100*$FF$34)</f>
        <v>-1E-05</v>
      </c>
      <c r="FK24" s="177">
        <f t="shared" si="70"/>
        <v>1</v>
      </c>
      <c r="FL24" s="29">
        <f>IF($FF$34=7,IF(FN15=0,0,1),1)</f>
        <v>1</v>
      </c>
      <c r="FM24" s="257" t="str">
        <f>"ab 7%"</f>
        <v>ab 7%</v>
      </c>
      <c r="FN24" s="128" t="s">
        <v>81</v>
      </c>
      <c r="FO24" s="181">
        <f t="shared" si="71"/>
        <v>-1E-05</v>
      </c>
      <c r="FP24" s="177">
        <f t="shared" si="72"/>
        <v>1</v>
      </c>
      <c r="FQ24" s="29">
        <f>IF($FF$34=7,IF(FS15=0,0,1),1)</f>
        <v>1</v>
      </c>
      <c r="FR24" s="257" t="str">
        <f>"ab 7%"</f>
        <v>ab 7%</v>
      </c>
      <c r="FS24" s="128" t="s">
        <v>81</v>
      </c>
      <c r="FT24" s="181">
        <f t="shared" si="73"/>
        <v>-1E-05</v>
      </c>
      <c r="FU24" s="177">
        <f t="shared" si="74"/>
        <v>1</v>
      </c>
      <c r="FV24" s="29">
        <f>IF($FF$34=7,IF(FX15=0,0,1),1)</f>
        <v>1</v>
      </c>
      <c r="FW24" s="257" t="str">
        <f>"ab 7%"</f>
        <v>ab 7%</v>
      </c>
      <c r="FX24" s="128" t="s">
        <v>81</v>
      </c>
      <c r="FY24" s="181">
        <f t="shared" si="75"/>
        <v>-1E-05</v>
      </c>
      <c r="FZ24" s="177">
        <f t="shared" si="76"/>
        <v>1</v>
      </c>
      <c r="GA24" s="29">
        <f>IF($FF$34=7,IF(GC15=0,0,1),1)</f>
        <v>1</v>
      </c>
      <c r="GB24" s="257" t="str">
        <f>"ab 7%"</f>
        <v>ab 7%</v>
      </c>
      <c r="GC24" s="128" t="s">
        <v>81</v>
      </c>
      <c r="GD24" s="181">
        <f t="shared" si="77"/>
        <v>-1E-05</v>
      </c>
      <c r="GE24" s="177">
        <f t="shared" si="78"/>
        <v>1.5</v>
      </c>
      <c r="GF24" s="29">
        <f>IF($FF$34=7,IF(GH15=0,0,1),1)</f>
        <v>1</v>
      </c>
      <c r="GG24" s="257" t="str">
        <f>"ab 7%"</f>
        <v>ab 7%</v>
      </c>
      <c r="GH24" s="128" t="s">
        <v>81</v>
      </c>
      <c r="GI24" s="181">
        <f t="shared" si="79"/>
        <v>-1E-05</v>
      </c>
      <c r="GJ24" s="177">
        <f t="shared" si="80"/>
        <v>1.5</v>
      </c>
      <c r="GK24" s="29">
        <f>IF($FF$34=7,IF(GM15=0,0,1),1)</f>
        <v>1</v>
      </c>
      <c r="GL24" s="257" t="str">
        <f>"ab 7%"</f>
        <v>ab 7%</v>
      </c>
      <c r="GM24" s="128" t="s">
        <v>81</v>
      </c>
      <c r="GN24" s="181">
        <f t="shared" si="81"/>
        <v>-1E-05</v>
      </c>
      <c r="GO24" s="177">
        <f t="shared" si="82"/>
        <v>1.5</v>
      </c>
      <c r="GP24" s="29">
        <f>IF($FF$34=7,IF(GR15=0,0,1),1)</f>
        <v>1</v>
      </c>
      <c r="GQ24" s="257" t="str">
        <f>"ab 7%"</f>
        <v>ab 7%</v>
      </c>
      <c r="GR24" s="128" t="s">
        <v>81</v>
      </c>
      <c r="GS24" s="181">
        <f t="shared" si="83"/>
        <v>-1E-05</v>
      </c>
      <c r="GT24" s="177">
        <f t="shared" si="84"/>
        <v>1</v>
      </c>
      <c r="GU24" s="29">
        <f>IF($FF$34=7,IF(GW15=0,0,1),1)</f>
        <v>1</v>
      </c>
      <c r="GV24" s="257" t="str">
        <f>"ab 7%"</f>
        <v>ab 7%</v>
      </c>
      <c r="GW24" s="128" t="s">
        <v>81</v>
      </c>
      <c r="GX24" s="181">
        <f t="shared" si="85"/>
        <v>-1E-05</v>
      </c>
      <c r="GY24" s="177">
        <f t="shared" si="86"/>
        <v>1</v>
      </c>
      <c r="GZ24" s="29">
        <f>IF($FF$34=7,IF(HB15=0,0,1),1)</f>
        <v>1</v>
      </c>
      <c r="HA24" s="257" t="str">
        <f>"ab 7%"</f>
        <v>ab 7%</v>
      </c>
      <c r="HB24" s="128" t="s">
        <v>81</v>
      </c>
      <c r="HC24" s="181">
        <f t="shared" si="87"/>
        <v>-1E-05</v>
      </c>
      <c r="HD24" s="177">
        <f t="shared" si="88"/>
        <v>4</v>
      </c>
      <c r="HE24" s="29">
        <f>IF($FF$34=7,IF(HG15=0,0,1),1)</f>
        <v>1</v>
      </c>
      <c r="HF24" s="257" t="str">
        <f>"ab 7%"</f>
        <v>ab 7%</v>
      </c>
      <c r="HG24" s="128" t="s">
        <v>81</v>
      </c>
      <c r="HH24" s="181">
        <f t="shared" si="89"/>
        <v>0.5</v>
      </c>
      <c r="HI24" s="177">
        <f t="shared" si="90"/>
        <v>2</v>
      </c>
      <c r="HJ24" s="29">
        <f>IF($FF$34=7,IF(HL15=0,0,1),1)</f>
        <v>1</v>
      </c>
      <c r="HK24" s="257" t="str">
        <f>"ab 7%"</f>
        <v>ab 7%</v>
      </c>
      <c r="HL24" s="128" t="s">
        <v>81</v>
      </c>
      <c r="HM24" s="181">
        <f t="shared" si="91"/>
        <v>14.5</v>
      </c>
      <c r="HN24" s="177">
        <f t="shared" si="92"/>
        <v>20.5</v>
      </c>
      <c r="HO24" s="29">
        <f>IF($FF$34=7,IF(HQ15=0,0,1),1)</f>
        <v>1</v>
      </c>
      <c r="HP24" s="257" t="str">
        <f>"ab 7%"</f>
        <v>ab 7%</v>
      </c>
      <c r="HQ24" s="128" t="s">
        <v>81</v>
      </c>
      <c r="HR24" s="181">
        <f t="shared" si="93"/>
        <v>15</v>
      </c>
      <c r="HS24" s="177">
        <f t="shared" si="94"/>
        <v>21</v>
      </c>
      <c r="HT24" s="29">
        <f>IF($FF$34=7,IF(HV15=0,0,1),1)</f>
        <v>1</v>
      </c>
      <c r="HU24" s="257" t="str">
        <f>"ab 7%"</f>
        <v>ab 7%</v>
      </c>
      <c r="HV24" s="128" t="s">
        <v>81</v>
      </c>
      <c r="HW24" s="181">
        <f t="shared" si="95"/>
        <v>17</v>
      </c>
      <c r="HX24" s="177">
        <f t="shared" si="96"/>
        <v>23.5</v>
      </c>
      <c r="HY24" s="29">
        <f>IF($FF$34=7,IF(IA15=0,0,1),1)</f>
        <v>1</v>
      </c>
      <c r="HZ24" s="257" t="str">
        <f>"ab 7%"</f>
        <v>ab 7%</v>
      </c>
      <c r="IA24" s="128" t="s">
        <v>81</v>
      </c>
      <c r="IB24" s="181">
        <f t="shared" si="97"/>
        <v>15</v>
      </c>
      <c r="IC24" s="177">
        <f t="shared" si="98"/>
        <v>21</v>
      </c>
      <c r="ID24" s="29">
        <f>IF($FF$34=7,IF(IF15=0,0,1),1)</f>
        <v>1</v>
      </c>
      <c r="IE24" s="257" t="str">
        <f>"ab 7%"</f>
        <v>ab 7%</v>
      </c>
      <c r="IF24" s="128" t="s">
        <v>81</v>
      </c>
      <c r="IG24" s="181">
        <f t="shared" si="99"/>
        <v>-1E-05</v>
      </c>
      <c r="IH24" s="177">
        <f t="shared" si="100"/>
        <v>3.5</v>
      </c>
      <c r="II24" s="29">
        <f>IF($FF$34=7,IF(IK15=0,0,1),1)</f>
        <v>1</v>
      </c>
      <c r="IJ24" s="257" t="str">
        <f>"ab 7%"</f>
        <v>ab 7%</v>
      </c>
      <c r="IK24" s="128" t="s">
        <v>81</v>
      </c>
      <c r="IL24" s="61"/>
    </row>
    <row r="25" spans="1:246" ht="12" customHeight="1">
      <c r="A25" s="60"/>
      <c r="B25" s="6" t="s">
        <v>116</v>
      </c>
      <c r="C25" s="172"/>
      <c r="D25" s="3"/>
      <c r="E25" s="126" t="s">
        <v>117</v>
      </c>
      <c r="F25" s="100"/>
      <c r="H25" s="10" t="str">
        <f>IF(J17="ja","-",IF(J17="-","-","(Si/Fe) Olivin, Chlorite"))</f>
        <v>-</v>
      </c>
      <c r="I25" s="3"/>
      <c r="J25" s="6"/>
      <c r="L25" s="10" t="str">
        <f>IF(N17="ja","-",IF(N17="-","-",IF(F37&lt;4,"(Si/Al) Hornblenden, Glimmer","(Si/Al) Hornblenden")))</f>
        <v>-</v>
      </c>
      <c r="M25" s="3"/>
      <c r="N25" s="6"/>
      <c r="P25" s="10" t="str">
        <f>IF(R10="ja","-",IF(R10="-","-","(Fe) Aktinolith, (Pig.)Augit, Pigeonit, "))</f>
        <v>-</v>
      </c>
      <c r="Q25" s="3"/>
      <c r="R25" s="6"/>
      <c r="T25" s="10" t="str">
        <f>IF(V7="ja",IF(C45&gt;18.5,"(Fe&gt;18,5) Pigeonitaugit (Fe)","-"),IF(V7="-","-","   Enstatit, einige Hornbl. u. Chlorite,"))</f>
        <v>   Enstatit, einige Hornbl. u. Chlorite,</v>
      </c>
      <c r="U25" s="3"/>
      <c r="V25" s="6"/>
      <c r="X25" s="60"/>
      <c r="Y25" s="128" t="s">
        <v>83</v>
      </c>
      <c r="Z25" s="181">
        <f t="shared" si="13"/>
        <v>-1E-05</v>
      </c>
      <c r="AA25" s="177">
        <f t="shared" si="14"/>
        <v>1</v>
      </c>
      <c r="AB25" s="29">
        <f>IF($FF$34=8,IF(AD15=0,0,1),1)</f>
        <v>1</v>
      </c>
      <c r="AC25" s="257" t="str">
        <f>"ab 8%"</f>
        <v>ab 8%</v>
      </c>
      <c r="AD25" s="128" t="s">
        <v>83</v>
      </c>
      <c r="AE25" s="181">
        <f t="shared" si="15"/>
        <v>-1E-05</v>
      </c>
      <c r="AF25" s="177">
        <f t="shared" si="16"/>
        <v>1</v>
      </c>
      <c r="AG25" s="29">
        <f>IF($FF$34=8,IF(AI15=0,0,1),1)</f>
        <v>1</v>
      </c>
      <c r="AH25" s="257" t="str">
        <f>"ab 8%"</f>
        <v>ab 8%</v>
      </c>
      <c r="AI25" s="128" t="s">
        <v>83</v>
      </c>
      <c r="AJ25" s="181">
        <f t="shared" si="17"/>
        <v>-1E-05</v>
      </c>
      <c r="AK25" s="177">
        <f t="shared" si="18"/>
        <v>1</v>
      </c>
      <c r="AL25" s="29">
        <f>IF($FF$34=8,IF(AN15=0,0,1),1)</f>
        <v>1</v>
      </c>
      <c r="AM25" s="257" t="str">
        <f>"ab 8%"</f>
        <v>ab 8%</v>
      </c>
      <c r="AN25" s="128" t="s">
        <v>83</v>
      </c>
      <c r="AO25" s="181">
        <f t="shared" si="19"/>
        <v>-1E-05</v>
      </c>
      <c r="AP25" s="177">
        <f t="shared" si="20"/>
        <v>1</v>
      </c>
      <c r="AQ25" s="29">
        <f>IF($FF$34=8,IF(AS15=0,0,1),1)</f>
        <v>1</v>
      </c>
      <c r="AR25" s="257" t="str">
        <f>"ab 8%"</f>
        <v>ab 8%</v>
      </c>
      <c r="AS25" s="128" t="s">
        <v>83</v>
      </c>
      <c r="AT25" s="181">
        <f t="shared" si="21"/>
        <v>-1E-05</v>
      </c>
      <c r="AU25" s="177">
        <f t="shared" si="22"/>
        <v>1</v>
      </c>
      <c r="AV25" s="29">
        <f>IF($FF$34=8,IF(AX15=0,0,1),1)</f>
        <v>1</v>
      </c>
      <c r="AW25" s="257" t="str">
        <f>"ab 8%"</f>
        <v>ab 8%</v>
      </c>
      <c r="AX25" s="128" t="s">
        <v>83</v>
      </c>
      <c r="AY25" s="181">
        <f t="shared" si="23"/>
        <v>-1E-05</v>
      </c>
      <c r="AZ25" s="177">
        <f t="shared" si="24"/>
        <v>1</v>
      </c>
      <c r="BA25" s="29">
        <f>IF($FF$34=8,IF(BC15=0,0,1),1)</f>
        <v>1</v>
      </c>
      <c r="BB25" s="257" t="str">
        <f>"ab 8%"</f>
        <v>ab 8%</v>
      </c>
      <c r="BC25" s="128" t="s">
        <v>83</v>
      </c>
      <c r="BD25" s="181">
        <f t="shared" si="25"/>
        <v>-1E-05</v>
      </c>
      <c r="BE25" s="177">
        <f t="shared" si="26"/>
        <v>1</v>
      </c>
      <c r="BF25" s="29">
        <f>IF($FF$34=8,IF(BH15=0,0,1),1)</f>
        <v>1</v>
      </c>
      <c r="BG25" s="257" t="str">
        <f>"ab 8%"</f>
        <v>ab 8%</v>
      </c>
      <c r="BH25" s="128" t="s">
        <v>83</v>
      </c>
      <c r="BI25" s="181">
        <f t="shared" si="27"/>
        <v>-1E-05</v>
      </c>
      <c r="BJ25" s="177">
        <f t="shared" si="28"/>
        <v>1</v>
      </c>
      <c r="BK25" s="29">
        <f>IF($FF$34=8,IF(BM15=0,0,1),1)</f>
        <v>1</v>
      </c>
      <c r="BL25" s="257" t="str">
        <f>"ab 8%"</f>
        <v>ab 8%</v>
      </c>
      <c r="BM25" s="128" t="s">
        <v>83</v>
      </c>
      <c r="BN25" s="181">
        <f t="shared" si="29"/>
        <v>-1E-05</v>
      </c>
      <c r="BO25" s="177">
        <f t="shared" si="30"/>
        <v>1</v>
      </c>
      <c r="BP25" s="29">
        <f>IF($FF$34=8,IF(BR15=0,0,1),1)</f>
        <v>1</v>
      </c>
      <c r="BQ25" s="257" t="str">
        <f>"ab 8%"</f>
        <v>ab 8%</v>
      </c>
      <c r="BR25" s="128" t="s">
        <v>83</v>
      </c>
      <c r="BS25" s="181">
        <f t="shared" si="31"/>
        <v>-1E-05</v>
      </c>
      <c r="BT25" s="177">
        <f t="shared" si="32"/>
        <v>1</v>
      </c>
      <c r="BU25" s="29">
        <f>IF($FF$34=8,IF(BW15=0,0,1),1)</f>
        <v>1</v>
      </c>
      <c r="BV25" s="257" t="str">
        <f>"ab 8%"</f>
        <v>ab 8%</v>
      </c>
      <c r="BW25" s="128" t="s">
        <v>83</v>
      </c>
      <c r="BX25" s="181">
        <f t="shared" si="33"/>
        <v>-1E-05</v>
      </c>
      <c r="BY25" s="177">
        <f t="shared" si="34"/>
        <v>1</v>
      </c>
      <c r="BZ25" s="29">
        <f>IF($FF$34=8,IF(CB15=0,0,1),1)</f>
        <v>1</v>
      </c>
      <c r="CA25" s="257" t="str">
        <f>"ab 8%"</f>
        <v>ab 8%</v>
      </c>
      <c r="CB25" s="128" t="s">
        <v>83</v>
      </c>
      <c r="CC25" s="181">
        <f t="shared" si="35"/>
        <v>-1E-05</v>
      </c>
      <c r="CD25" s="177">
        <f t="shared" si="36"/>
        <v>1</v>
      </c>
      <c r="CE25" s="29">
        <f>IF($FF$34=8,IF(CG15=0,0,1),1)</f>
        <v>1</v>
      </c>
      <c r="CF25" s="257" t="str">
        <f>"ab 8%"</f>
        <v>ab 8%</v>
      </c>
      <c r="CG25" s="128" t="s">
        <v>83</v>
      </c>
      <c r="CH25" s="181">
        <f t="shared" si="37"/>
        <v>-1E-05</v>
      </c>
      <c r="CI25" s="177">
        <f t="shared" si="38"/>
        <v>1</v>
      </c>
      <c r="CJ25" s="29">
        <f>IF($FF$34=8,IF(CL15=0,0,1),1)</f>
        <v>1</v>
      </c>
      <c r="CK25" s="257" t="str">
        <f>"ab 8%"</f>
        <v>ab 8%</v>
      </c>
      <c r="CL25" s="128" t="s">
        <v>83</v>
      </c>
      <c r="CM25" s="181">
        <f t="shared" si="39"/>
        <v>-1E-05</v>
      </c>
      <c r="CN25" s="177">
        <f t="shared" si="40"/>
        <v>1</v>
      </c>
      <c r="CO25" s="29">
        <f>IF($FF$34=8,IF(CQ15=0,0,1),1)</f>
        <v>1</v>
      </c>
      <c r="CP25" s="257" t="str">
        <f>"ab 8%"</f>
        <v>ab 8%</v>
      </c>
      <c r="CQ25" s="128" t="s">
        <v>83</v>
      </c>
      <c r="CR25" s="181">
        <f t="shared" si="41"/>
        <v>-1E-05</v>
      </c>
      <c r="CS25" s="177">
        <f t="shared" si="42"/>
        <v>1</v>
      </c>
      <c r="CT25" s="29">
        <f>IF($FF$34=8,IF(CV15=0,0,1),1)</f>
        <v>1</v>
      </c>
      <c r="CU25" s="257" t="str">
        <f>"ab 8%"</f>
        <v>ab 8%</v>
      </c>
      <c r="CV25" s="128" t="s">
        <v>83</v>
      </c>
      <c r="CW25" s="181">
        <f t="shared" si="43"/>
        <v>-1E-05</v>
      </c>
      <c r="CX25" s="177">
        <f t="shared" si="44"/>
        <v>1</v>
      </c>
      <c r="CY25" s="29">
        <f>IF($FF$34=8,IF(DA15=0,0,1),1)</f>
        <v>1</v>
      </c>
      <c r="CZ25" s="257" t="str">
        <f>"ab 8%"</f>
        <v>ab 8%</v>
      </c>
      <c r="DA25" s="128" t="s">
        <v>83</v>
      </c>
      <c r="DB25" s="181">
        <f t="shared" si="45"/>
        <v>-1E-05</v>
      </c>
      <c r="DC25" s="177">
        <f t="shared" si="46"/>
        <v>1</v>
      </c>
      <c r="DD25" s="29">
        <f>IF($FF$34=8,IF(DF15=0,0,1),1)</f>
        <v>1</v>
      </c>
      <c r="DE25" s="257" t="str">
        <f>"ab 8%"</f>
        <v>ab 8%</v>
      </c>
      <c r="DF25" s="128" t="s">
        <v>83</v>
      </c>
      <c r="DG25" s="181">
        <f t="shared" si="47"/>
        <v>-1E-05</v>
      </c>
      <c r="DH25" s="177">
        <f t="shared" si="48"/>
        <v>1</v>
      </c>
      <c r="DI25" s="29">
        <f>IF($FF$34=8,IF(DK15=0,0,1),1)</f>
        <v>1</v>
      </c>
      <c r="DJ25" s="257" t="str">
        <f>"ab 8%"</f>
        <v>ab 8%</v>
      </c>
      <c r="DK25" s="128" t="s">
        <v>83</v>
      </c>
      <c r="DL25" s="181">
        <f t="shared" si="49"/>
        <v>-1E-05</v>
      </c>
      <c r="DM25" s="177">
        <f t="shared" si="50"/>
        <v>1</v>
      </c>
      <c r="DN25" s="29">
        <f>IF($FF$34=8,IF(DP15=0,0,1),1)</f>
        <v>1</v>
      </c>
      <c r="DO25" s="257" t="str">
        <f>"ab 8%"</f>
        <v>ab 8%</v>
      </c>
      <c r="DP25" s="128" t="s">
        <v>83</v>
      </c>
      <c r="DQ25" s="181">
        <f t="shared" si="51"/>
        <v>-1E-05</v>
      </c>
      <c r="DR25" s="177">
        <f t="shared" si="52"/>
        <v>1</v>
      </c>
      <c r="DS25" s="29">
        <f>IF($FF$34=8,IF(DU15=0,0,1),1)</f>
        <v>1</v>
      </c>
      <c r="DT25" s="257" t="str">
        <f>"ab 8%"</f>
        <v>ab 8%</v>
      </c>
      <c r="DU25" s="128" t="s">
        <v>83</v>
      </c>
      <c r="DV25" s="181">
        <f t="shared" si="53"/>
        <v>-1E-05</v>
      </c>
      <c r="DW25" s="177">
        <f t="shared" si="54"/>
        <v>1</v>
      </c>
      <c r="DX25" s="29">
        <f>IF($FF$34=8,IF(DZ15=0,0,1),1)</f>
        <v>1</v>
      </c>
      <c r="DY25" s="257" t="str">
        <f>"ab 8%"</f>
        <v>ab 8%</v>
      </c>
      <c r="DZ25" s="128" t="s">
        <v>83</v>
      </c>
      <c r="EA25" s="181">
        <f t="shared" si="55"/>
        <v>-1E-05</v>
      </c>
      <c r="EB25" s="177">
        <f t="shared" si="56"/>
        <v>1</v>
      </c>
      <c r="EC25" s="29">
        <f>IF($FF$34=8,IF(EE15=0,0,1),1)</f>
        <v>1</v>
      </c>
      <c r="ED25" s="257" t="str">
        <f>"ab 8%"</f>
        <v>ab 8%</v>
      </c>
      <c r="EE25" s="128" t="s">
        <v>83</v>
      </c>
      <c r="EF25" s="181">
        <f t="shared" si="57"/>
        <v>-1E-05</v>
      </c>
      <c r="EG25" s="177">
        <f t="shared" si="58"/>
        <v>1.5</v>
      </c>
      <c r="EH25" s="29">
        <f>IF($FF$34=8,IF(EJ15=0,0,1),1)</f>
        <v>1</v>
      </c>
      <c r="EI25" s="257" t="str">
        <f>"ab 8%"</f>
        <v>ab 8%</v>
      </c>
      <c r="EJ25" s="128" t="s">
        <v>83</v>
      </c>
      <c r="EK25" s="181">
        <f t="shared" si="59"/>
        <v>-1E-05</v>
      </c>
      <c r="EL25" s="177">
        <f t="shared" si="60"/>
        <v>1.5</v>
      </c>
      <c r="EM25" s="29">
        <f>IF($FF$34=8,IF(EO15=0,0,1),1)</f>
        <v>1</v>
      </c>
      <c r="EN25" s="257" t="str">
        <f>"ab 8%"</f>
        <v>ab 8%</v>
      </c>
      <c r="EO25" s="128" t="s">
        <v>83</v>
      </c>
      <c r="EP25" s="181">
        <f t="shared" si="61"/>
        <v>-1E-05</v>
      </c>
      <c r="EQ25" s="177">
        <f t="shared" si="62"/>
        <v>1.5</v>
      </c>
      <c r="ER25" s="29">
        <f>IF($FF$34=8,IF(ET15=0,0,1),1)</f>
        <v>1</v>
      </c>
      <c r="ES25" s="257" t="str">
        <f>"ab 8%"</f>
        <v>ab 8%</v>
      </c>
      <c r="ET25" s="128" t="s">
        <v>83</v>
      </c>
      <c r="EU25" s="181">
        <f t="shared" si="63"/>
        <v>-1E-05</v>
      </c>
      <c r="EV25" s="177">
        <f t="shared" si="64"/>
        <v>1.5</v>
      </c>
      <c r="EW25" s="29">
        <f>IF($FF$34=8,IF(EY15=0,0,1),1)</f>
        <v>1</v>
      </c>
      <c r="EX25" s="257" t="str">
        <f>"ab 8%"</f>
        <v>ab 8%</v>
      </c>
      <c r="EY25" s="128" t="s">
        <v>83</v>
      </c>
      <c r="EZ25" s="181">
        <f t="shared" si="65"/>
        <v>-1E-05</v>
      </c>
      <c r="FA25" s="177">
        <f t="shared" si="66"/>
        <v>1.5</v>
      </c>
      <c r="FB25" s="29">
        <f>IF($FF$34=8,IF(FD15=0,0,1),1)</f>
        <v>1</v>
      </c>
      <c r="FC25" s="257" t="str">
        <f>"ab 8%"</f>
        <v>ab 8%</v>
      </c>
      <c r="FD25" s="128" t="s">
        <v>83</v>
      </c>
      <c r="FE25" s="181">
        <f t="shared" si="67"/>
        <v>-1E-05</v>
      </c>
      <c r="FF25" s="177">
        <f t="shared" si="68"/>
        <v>1.5</v>
      </c>
      <c r="FG25" s="29">
        <f>IF($FF$34=8,IF(FI15=0,0,1),1)</f>
        <v>1</v>
      </c>
      <c r="FH25" s="257" t="str">
        <f>"ab 8%"</f>
        <v>ab 8%</v>
      </c>
      <c r="FI25" s="128" t="s">
        <v>83</v>
      </c>
      <c r="FJ25" s="181">
        <f t="shared" si="69"/>
        <v>-1E-05</v>
      </c>
      <c r="FK25" s="177">
        <f t="shared" si="70"/>
        <v>1.5</v>
      </c>
      <c r="FL25" s="29">
        <f>IF($FF$34=8,IF(FN15=0,0,1),1)</f>
        <v>1</v>
      </c>
      <c r="FM25" s="257" t="str">
        <f>"ab 8%"</f>
        <v>ab 8%</v>
      </c>
      <c r="FN25" s="128" t="s">
        <v>83</v>
      </c>
      <c r="FO25" s="181">
        <f t="shared" si="71"/>
        <v>-1E-05</v>
      </c>
      <c r="FP25" s="177">
        <f t="shared" si="72"/>
        <v>1.5</v>
      </c>
      <c r="FQ25" s="29">
        <f>IF($FF$34=8,IF(FS15=0,0,1),1)</f>
        <v>1</v>
      </c>
      <c r="FR25" s="257" t="str">
        <f>"ab 8%"</f>
        <v>ab 8%</v>
      </c>
      <c r="FS25" s="128" t="s">
        <v>83</v>
      </c>
      <c r="FT25" s="181">
        <f t="shared" si="73"/>
        <v>-1E-05</v>
      </c>
      <c r="FU25" s="177">
        <f t="shared" si="74"/>
        <v>1</v>
      </c>
      <c r="FV25" s="29">
        <f>IF($FF$34=8,IF(FX15=0,0,1),1)</f>
        <v>1</v>
      </c>
      <c r="FW25" s="257" t="str">
        <f>"ab 8%"</f>
        <v>ab 8%</v>
      </c>
      <c r="FX25" s="128" t="s">
        <v>83</v>
      </c>
      <c r="FY25" s="181">
        <f t="shared" si="75"/>
        <v>-1E-05</v>
      </c>
      <c r="FZ25" s="177">
        <f t="shared" si="76"/>
        <v>1</v>
      </c>
      <c r="GA25" s="29">
        <f>IF($FF$34=8,IF(GC15=0,0,1),1)</f>
        <v>1</v>
      </c>
      <c r="GB25" s="257" t="str">
        <f>"ab 8%"</f>
        <v>ab 8%</v>
      </c>
      <c r="GC25" s="128" t="s">
        <v>83</v>
      </c>
      <c r="GD25" s="181">
        <f t="shared" si="77"/>
        <v>-1E-05</v>
      </c>
      <c r="GE25" s="177">
        <f t="shared" si="78"/>
        <v>5</v>
      </c>
      <c r="GF25" s="29">
        <f>IF($FF$34=8,IF(GH15=0,0,1),1)</f>
        <v>1</v>
      </c>
      <c r="GG25" s="257" t="str">
        <f>"ab 8%"</f>
        <v>ab 8%</v>
      </c>
      <c r="GH25" s="128" t="s">
        <v>83</v>
      </c>
      <c r="GI25" s="181">
        <f t="shared" si="79"/>
        <v>-1E-05</v>
      </c>
      <c r="GJ25" s="177">
        <f t="shared" si="80"/>
        <v>3</v>
      </c>
      <c r="GK25" s="29">
        <f>IF($FF$34=8,IF(GM15=0,0,1),1)</f>
        <v>1</v>
      </c>
      <c r="GL25" s="257" t="str">
        <f>"ab 8%"</f>
        <v>ab 8%</v>
      </c>
      <c r="GM25" s="128" t="s">
        <v>83</v>
      </c>
      <c r="GN25" s="181">
        <f t="shared" si="81"/>
        <v>-1E-05</v>
      </c>
      <c r="GO25" s="177">
        <f t="shared" si="82"/>
        <v>3</v>
      </c>
      <c r="GP25" s="29">
        <f>IF($FF$34=8,IF(GR15=0,0,1),1)</f>
        <v>1</v>
      </c>
      <c r="GQ25" s="257" t="str">
        <f>"ab 8%"</f>
        <v>ab 8%</v>
      </c>
      <c r="GR25" s="128" t="s">
        <v>83</v>
      </c>
      <c r="GS25" s="181">
        <f t="shared" si="83"/>
        <v>-1E-05</v>
      </c>
      <c r="GT25" s="177">
        <f t="shared" si="84"/>
        <v>1</v>
      </c>
      <c r="GU25" s="29">
        <f>IF($FF$34=8,IF(GW15=0,0,1),1)</f>
        <v>1</v>
      </c>
      <c r="GV25" s="257" t="str">
        <f>"ab 8%"</f>
        <v>ab 8%</v>
      </c>
      <c r="GW25" s="128" t="s">
        <v>83</v>
      </c>
      <c r="GX25" s="181">
        <f t="shared" si="85"/>
        <v>-1E-05</v>
      </c>
      <c r="GY25" s="177">
        <f t="shared" si="86"/>
        <v>1</v>
      </c>
      <c r="GZ25" s="29">
        <f>IF($FF$34=8,IF(HB15=0,0,1),1)</f>
        <v>1</v>
      </c>
      <c r="HA25" s="257" t="str">
        <f>"ab 8%"</f>
        <v>ab 8%</v>
      </c>
      <c r="HB25" s="128" t="s">
        <v>83</v>
      </c>
      <c r="HC25" s="181">
        <f t="shared" si="87"/>
        <v>-1E-05</v>
      </c>
      <c r="HD25" s="177">
        <f t="shared" si="88"/>
        <v>1</v>
      </c>
      <c r="HE25" s="29">
        <f>IF($FF$34=8,IF(HG15=0,0,1),1)</f>
        <v>1</v>
      </c>
      <c r="HF25" s="257" t="str">
        <f>"ab 8%"</f>
        <v>ab 8%</v>
      </c>
      <c r="HG25" s="128" t="s">
        <v>83</v>
      </c>
      <c r="HH25" s="181">
        <f t="shared" si="89"/>
        <v>-1E-05</v>
      </c>
      <c r="HI25" s="177">
        <f t="shared" si="90"/>
        <v>1</v>
      </c>
      <c r="HJ25" s="29">
        <f>IF($FF$34=8,IF(HL15=0,0,1),1)</f>
        <v>1</v>
      </c>
      <c r="HK25" s="257" t="str">
        <f>"ab 8%"</f>
        <v>ab 8%</v>
      </c>
      <c r="HL25" s="128" t="s">
        <v>83</v>
      </c>
      <c r="HM25" s="181">
        <f t="shared" si="91"/>
        <v>-1E-05</v>
      </c>
      <c r="HN25" s="177">
        <f t="shared" si="92"/>
        <v>3</v>
      </c>
      <c r="HO25" s="29">
        <f>IF($FF$34=8,IF(HQ15=0,0,1),1)</f>
        <v>1</v>
      </c>
      <c r="HP25" s="257" t="str">
        <f>"ab 8%"</f>
        <v>ab 8%</v>
      </c>
      <c r="HQ25" s="128" t="s">
        <v>83</v>
      </c>
      <c r="HR25" s="181">
        <f t="shared" si="93"/>
        <v>-1E-05</v>
      </c>
      <c r="HS25" s="177">
        <f t="shared" si="94"/>
        <v>3</v>
      </c>
      <c r="HT25" s="29">
        <f>IF($FF$34=8,IF(HV15=0,0,1),1)</f>
        <v>1</v>
      </c>
      <c r="HU25" s="257" t="str">
        <f>"ab 8%"</f>
        <v>ab 8%</v>
      </c>
      <c r="HV25" s="128" t="s">
        <v>83</v>
      </c>
      <c r="HW25" s="181">
        <f t="shared" si="95"/>
        <v>-1E-05</v>
      </c>
      <c r="HX25" s="177">
        <f t="shared" si="96"/>
        <v>1</v>
      </c>
      <c r="HY25" s="29">
        <f>IF($FF$34=8,IF(IA15=0,0,1),1)</f>
        <v>1</v>
      </c>
      <c r="HZ25" s="257" t="str">
        <f>"ab 8%"</f>
        <v>ab 8%</v>
      </c>
      <c r="IA25" s="128" t="s">
        <v>83</v>
      </c>
      <c r="IB25" s="181">
        <f t="shared" si="97"/>
        <v>-1E-05</v>
      </c>
      <c r="IC25" s="177">
        <f t="shared" si="98"/>
        <v>1</v>
      </c>
      <c r="ID25" s="29">
        <f>IF($FF$34=8,IF(IF15=0,0,1),1)</f>
        <v>1</v>
      </c>
      <c r="IE25" s="257" t="str">
        <f>"ab 8%"</f>
        <v>ab 8%</v>
      </c>
      <c r="IF25" s="128" t="s">
        <v>83</v>
      </c>
      <c r="IG25" s="181">
        <f t="shared" si="99"/>
        <v>-1E-05</v>
      </c>
      <c r="IH25" s="177">
        <f t="shared" si="100"/>
        <v>1</v>
      </c>
      <c r="II25" s="29">
        <f>IF($FF$34=8,IF(IK15=0,0,1),1)</f>
        <v>1</v>
      </c>
      <c r="IJ25" s="257" t="str">
        <f>"ab 8%"</f>
        <v>ab 8%</v>
      </c>
      <c r="IK25" s="128" t="s">
        <v>83</v>
      </c>
      <c r="IL25" s="61"/>
    </row>
    <row r="26" spans="1:246" ht="12" customHeight="1">
      <c r="A26" s="60"/>
      <c r="B26" s="6" t="s">
        <v>118</v>
      </c>
      <c r="C26" s="172"/>
      <c r="D26" s="3"/>
      <c r="E26" s="126" t="s">
        <v>119</v>
      </c>
      <c r="F26" s="101" t="str">
        <f>IF(F24&gt;0,IF(F23&gt;0,F23/F24,"-"),"-")</f>
        <v>-</v>
      </c>
      <c r="H26" s="10" t="str">
        <f>IF(J8="ja","-",IF(J8="-","-","(Fe) Pyroxene (außer Enstatit und"))</f>
        <v>-</v>
      </c>
      <c r="I26" s="3"/>
      <c r="J26" s="6"/>
      <c r="L26" s="10" t="str">
        <f>IF(N17="ja","-",IF(N17="-","-",IF(F37&lt;4,"   Chlorite","-")))</f>
        <v>-</v>
      </c>
      <c r="M26" s="3"/>
      <c r="N26" s="6"/>
      <c r="P26" s="10" t="str">
        <f>IF(R10="ja","-",IF(R10="-","-",IF(C45&gt;20,"   einige Orthopyr. u. Chlorite, Nontr.","   einige Orthopyr. u. Chlorite")))</f>
        <v>-</v>
      </c>
      <c r="Q26" s="3"/>
      <c r="R26" s="6"/>
      <c r="T26" s="10" t="str">
        <f>IF(V7="ja",IF(C45&gt;22.5,"(Fe&gt;22,5) Pig., Hypers.,Chlor.,Nontr.","-"),IF(V7="-","-","   Talk, Verm., Mont., Sapo., Epi.-Pu."))</f>
        <v>   Talk, Verm., Mont., Sapo., Epi.-Pu.</v>
      </c>
      <c r="U26" s="3"/>
      <c r="V26" s="6"/>
      <c r="X26" s="60"/>
      <c r="Y26" s="128" t="s">
        <v>85</v>
      </c>
      <c r="Z26" s="181">
        <f t="shared" si="13"/>
        <v>4.5</v>
      </c>
      <c r="AA26" s="177">
        <f t="shared" si="14"/>
        <v>15</v>
      </c>
      <c r="AB26" s="29">
        <f>IF($FF$34=9,IF(AD15=0,0,1),1)</f>
        <v>1</v>
      </c>
      <c r="AC26" s="257" t="str">
        <f>"ab 9%"</f>
        <v>ab 9%</v>
      </c>
      <c r="AD26" s="128" t="s">
        <v>85</v>
      </c>
      <c r="AE26" s="181">
        <f t="shared" si="15"/>
        <v>15</v>
      </c>
      <c r="AF26" s="177">
        <f t="shared" si="16"/>
        <v>24</v>
      </c>
      <c r="AG26" s="29">
        <f>IF($FF$34=9,IF(AI15=0,0,1),1)</f>
        <v>1</v>
      </c>
      <c r="AH26" s="257" t="str">
        <f>"ab 9%"</f>
        <v>ab 9%</v>
      </c>
      <c r="AI26" s="128" t="s">
        <v>85</v>
      </c>
      <c r="AJ26" s="181">
        <f t="shared" si="17"/>
        <v>-1E-05</v>
      </c>
      <c r="AK26" s="177">
        <f t="shared" si="18"/>
        <v>5</v>
      </c>
      <c r="AL26" s="29">
        <f>IF($FF$34=9,IF(AN15=0,0,1),1)</f>
        <v>1</v>
      </c>
      <c r="AM26" s="257" t="str">
        <f>"ab 9%"</f>
        <v>ab 9%</v>
      </c>
      <c r="AN26" s="128" t="s">
        <v>85</v>
      </c>
      <c r="AO26" s="181">
        <f t="shared" si="19"/>
        <v>2.5</v>
      </c>
      <c r="AP26" s="177">
        <f t="shared" si="20"/>
        <v>6.5</v>
      </c>
      <c r="AQ26" s="29">
        <f>IF($FF$34=9,IF(AS15=0,0,1),1)</f>
        <v>1</v>
      </c>
      <c r="AR26" s="257" t="str">
        <f>"ab 9%"</f>
        <v>ab 9%</v>
      </c>
      <c r="AS26" s="128" t="s">
        <v>85</v>
      </c>
      <c r="AT26" s="181">
        <f t="shared" si="21"/>
        <v>2.5</v>
      </c>
      <c r="AU26" s="177">
        <f t="shared" si="22"/>
        <v>6.5</v>
      </c>
      <c r="AV26" s="29">
        <f>IF($FF$34=9,IF(AX15=0,0,1),1)</f>
        <v>1</v>
      </c>
      <c r="AW26" s="257" t="str">
        <f>"ab 9%"</f>
        <v>ab 9%</v>
      </c>
      <c r="AX26" s="128" t="s">
        <v>85</v>
      </c>
      <c r="AY26" s="181">
        <f t="shared" si="23"/>
        <v>14</v>
      </c>
      <c r="AZ26" s="177">
        <f t="shared" si="24"/>
        <v>20</v>
      </c>
      <c r="BA26" s="29">
        <f>IF($FF$34=9,IF(BC15=0,0,1),1)</f>
        <v>1</v>
      </c>
      <c r="BB26" s="257" t="str">
        <f>"ab 9%"</f>
        <v>ab 9%</v>
      </c>
      <c r="BC26" s="128" t="s">
        <v>85</v>
      </c>
      <c r="BD26" s="181">
        <f t="shared" si="25"/>
        <v>6.5</v>
      </c>
      <c r="BE26" s="177">
        <f t="shared" si="26"/>
        <v>12.5</v>
      </c>
      <c r="BF26" s="29">
        <f>IF($FF$34=9,IF(BH15=0,0,1),1)</f>
        <v>1</v>
      </c>
      <c r="BG26" s="257" t="str">
        <f>"ab 9%"</f>
        <v>ab 9%</v>
      </c>
      <c r="BH26" s="128" t="s">
        <v>85</v>
      </c>
      <c r="BI26" s="181">
        <f t="shared" si="27"/>
        <v>6</v>
      </c>
      <c r="BJ26" s="177">
        <f t="shared" si="28"/>
        <v>12</v>
      </c>
      <c r="BK26" s="29">
        <f>IF($FF$34=9,IF(BM15=0,0,1),1)</f>
        <v>1</v>
      </c>
      <c r="BL26" s="257" t="str">
        <f>"ab 9%"</f>
        <v>ab 9%</v>
      </c>
      <c r="BM26" s="128" t="s">
        <v>85</v>
      </c>
      <c r="BN26" s="181">
        <f t="shared" si="29"/>
        <v>8.5</v>
      </c>
      <c r="BO26" s="177">
        <f t="shared" si="30"/>
        <v>14.5</v>
      </c>
      <c r="BP26" s="29">
        <f>IF($FF$34=9,IF(BR15=0,0,1),1)</f>
        <v>1</v>
      </c>
      <c r="BQ26" s="257" t="str">
        <f>"ab 9%"</f>
        <v>ab 9%</v>
      </c>
      <c r="BR26" s="128" t="s">
        <v>85</v>
      </c>
      <c r="BS26" s="181">
        <f t="shared" si="31"/>
        <v>18.5</v>
      </c>
      <c r="BT26" s="177">
        <f t="shared" si="32"/>
        <v>24.5</v>
      </c>
      <c r="BU26" s="29">
        <f>IF($FF$34=9,IF(BW15=0,0,1),1)</f>
        <v>1</v>
      </c>
      <c r="BV26" s="257" t="str">
        <f>"ab 9%"</f>
        <v>ab 9%</v>
      </c>
      <c r="BW26" s="128" t="s">
        <v>85</v>
      </c>
      <c r="BX26" s="181">
        <f t="shared" si="33"/>
        <v>11</v>
      </c>
      <c r="BY26" s="177">
        <f t="shared" si="34"/>
        <v>17</v>
      </c>
      <c r="BZ26" s="29">
        <f>IF($FF$34=9,IF(CB15=0,0,1),1)</f>
        <v>1</v>
      </c>
      <c r="CA26" s="257" t="str">
        <f>"ab 9%"</f>
        <v>ab 9%</v>
      </c>
      <c r="CB26" s="128" t="s">
        <v>85</v>
      </c>
      <c r="CC26" s="181">
        <f t="shared" si="35"/>
        <v>19</v>
      </c>
      <c r="CD26" s="177">
        <f t="shared" si="36"/>
        <v>25</v>
      </c>
      <c r="CE26" s="29">
        <f>IF($FF$34=9,IF(CG15=0,0,1),1)</f>
        <v>1</v>
      </c>
      <c r="CF26" s="257" t="str">
        <f>"ab 9%"</f>
        <v>ab 9%</v>
      </c>
      <c r="CG26" s="128" t="s">
        <v>85</v>
      </c>
      <c r="CH26" s="181">
        <f t="shared" si="37"/>
        <v>-1E-05</v>
      </c>
      <c r="CI26" s="177">
        <f t="shared" si="38"/>
        <v>6.5</v>
      </c>
      <c r="CJ26" s="29">
        <f>IF($FF$34=9,IF(CL15=0,0,1),1)</f>
        <v>1</v>
      </c>
      <c r="CK26" s="257" t="str">
        <f>"ab 9%"</f>
        <v>ab 9%</v>
      </c>
      <c r="CL26" s="128" t="s">
        <v>85</v>
      </c>
      <c r="CM26" s="181">
        <f t="shared" si="39"/>
        <v>6</v>
      </c>
      <c r="CN26" s="177">
        <f t="shared" si="40"/>
        <v>16</v>
      </c>
      <c r="CO26" s="29">
        <f>IF($FF$34=9,IF(CQ15=0,0,1),1)</f>
        <v>1</v>
      </c>
      <c r="CP26" s="257" t="str">
        <f>"ab 9%"</f>
        <v>ab 9%</v>
      </c>
      <c r="CQ26" s="128" t="s">
        <v>85</v>
      </c>
      <c r="CR26" s="181">
        <f t="shared" si="41"/>
        <v>16</v>
      </c>
      <c r="CS26" s="177">
        <f t="shared" si="42"/>
        <v>24.5</v>
      </c>
      <c r="CT26" s="29">
        <f>IF($FF$34=9,IF(CV15=0,0,1),1)</f>
        <v>1</v>
      </c>
      <c r="CU26" s="257" t="str">
        <f>"ab 9%"</f>
        <v>ab 9%</v>
      </c>
      <c r="CV26" s="128" t="s">
        <v>85</v>
      </c>
      <c r="CW26" s="181">
        <f t="shared" si="43"/>
        <v>24</v>
      </c>
      <c r="CX26" s="177">
        <f t="shared" si="44"/>
        <v>31.5</v>
      </c>
      <c r="CY26" s="29">
        <f>IF($FF$34=9,IF(DA15=0,0,1),1)</f>
        <v>1</v>
      </c>
      <c r="CZ26" s="257" t="str">
        <f>"ab 9%"</f>
        <v>ab 9%</v>
      </c>
      <c r="DA26" s="128" t="s">
        <v>85</v>
      </c>
      <c r="DB26" s="181">
        <f t="shared" si="45"/>
        <v>3.5</v>
      </c>
      <c r="DC26" s="177">
        <f t="shared" si="46"/>
        <v>9.5</v>
      </c>
      <c r="DD26" s="29">
        <f>IF($FF$34=9,IF(DF15=0,0,1),1)</f>
        <v>1</v>
      </c>
      <c r="DE26" s="257" t="str">
        <f>"ab 9%"</f>
        <v>ab 9%</v>
      </c>
      <c r="DF26" s="128" t="s">
        <v>85</v>
      </c>
      <c r="DG26" s="181">
        <f t="shared" si="47"/>
        <v>11</v>
      </c>
      <c r="DH26" s="177">
        <f t="shared" si="48"/>
        <v>17</v>
      </c>
      <c r="DI26" s="29">
        <f>IF($FF$34=9,IF(DK15=0,0,1),1)</f>
        <v>1</v>
      </c>
      <c r="DJ26" s="257" t="str">
        <f>"ab 9%"</f>
        <v>ab 9%</v>
      </c>
      <c r="DK26" s="128" t="s">
        <v>85</v>
      </c>
      <c r="DL26" s="181">
        <f t="shared" si="49"/>
        <v>4</v>
      </c>
      <c r="DM26" s="177">
        <f t="shared" si="50"/>
        <v>10</v>
      </c>
      <c r="DN26" s="29">
        <f>IF($FF$34=9,IF(DP15=0,0,1),1)</f>
        <v>1</v>
      </c>
      <c r="DO26" s="257" t="str">
        <f>"ab 9%"</f>
        <v>ab 9%</v>
      </c>
      <c r="DP26" s="128" t="s">
        <v>85</v>
      </c>
      <c r="DQ26" s="181">
        <f t="shared" si="51"/>
        <v>4.5</v>
      </c>
      <c r="DR26" s="177">
        <f t="shared" si="52"/>
        <v>10.5</v>
      </c>
      <c r="DS26" s="29">
        <f>IF($FF$34=9,IF(DU15=0,0,1),1)</f>
        <v>1</v>
      </c>
      <c r="DT26" s="257" t="str">
        <f>"ab 9%"</f>
        <v>ab 9%</v>
      </c>
      <c r="DU26" s="128" t="s">
        <v>85</v>
      </c>
      <c r="DV26" s="181">
        <f t="shared" si="53"/>
        <v>6.5</v>
      </c>
      <c r="DW26" s="177">
        <f t="shared" si="54"/>
        <v>12.5</v>
      </c>
      <c r="DX26" s="29">
        <f>IF($FF$34=9,IF(DZ15=0,0,1),1)</f>
        <v>1</v>
      </c>
      <c r="DY26" s="257" t="str">
        <f>"ab 9%"</f>
        <v>ab 9%</v>
      </c>
      <c r="DZ26" s="128" t="s">
        <v>85</v>
      </c>
      <c r="EA26" s="181">
        <f t="shared" si="55"/>
        <v>10</v>
      </c>
      <c r="EB26" s="177">
        <f t="shared" si="56"/>
        <v>16</v>
      </c>
      <c r="EC26" s="29">
        <f>IF($FF$34=9,IF(EE15=0,0,1),1)</f>
        <v>1</v>
      </c>
      <c r="ED26" s="257" t="str">
        <f>"ab 9%"</f>
        <v>ab 9%</v>
      </c>
      <c r="EE26" s="128" t="s">
        <v>85</v>
      </c>
      <c r="EF26" s="181">
        <f t="shared" si="57"/>
        <v>-1E-05</v>
      </c>
      <c r="EG26" s="177">
        <f t="shared" si="58"/>
        <v>13</v>
      </c>
      <c r="EH26" s="29">
        <f>IF($FF$34=9,IF(EJ15=0,0,1),1)</f>
        <v>1</v>
      </c>
      <c r="EI26" s="257" t="str">
        <f>"ab 9%"</f>
        <v>ab 9%</v>
      </c>
      <c r="EJ26" s="128" t="s">
        <v>85</v>
      </c>
      <c r="EK26" s="181">
        <f t="shared" si="59"/>
        <v>-1E-05</v>
      </c>
      <c r="EL26" s="177">
        <f t="shared" si="60"/>
        <v>13</v>
      </c>
      <c r="EM26" s="29">
        <f>IF($FF$34=9,IF(EO15=0,0,1),1)</f>
        <v>1</v>
      </c>
      <c r="EN26" s="257" t="str">
        <f>"ab 9%"</f>
        <v>ab 9%</v>
      </c>
      <c r="EO26" s="128" t="s">
        <v>85</v>
      </c>
      <c r="EP26" s="181">
        <f t="shared" si="61"/>
        <v>8.5</v>
      </c>
      <c r="EQ26" s="177">
        <f t="shared" si="62"/>
        <v>32</v>
      </c>
      <c r="ER26" s="29">
        <f>IF($FF$34=9,IF(ET15=0,0,1),1)</f>
        <v>1</v>
      </c>
      <c r="ES26" s="257" t="str">
        <f>"ab 9%"</f>
        <v>ab 9%</v>
      </c>
      <c r="ET26" s="128" t="s">
        <v>85</v>
      </c>
      <c r="EU26" s="181">
        <f t="shared" si="63"/>
        <v>8.5</v>
      </c>
      <c r="EV26" s="177">
        <f t="shared" si="64"/>
        <v>32</v>
      </c>
      <c r="EW26" s="29">
        <f>IF($FF$34=9,IF(EY15=0,0,1),1)</f>
        <v>1</v>
      </c>
      <c r="EX26" s="257" t="str">
        <f>"ab 9%"</f>
        <v>ab 9%</v>
      </c>
      <c r="EY26" s="128" t="s">
        <v>85</v>
      </c>
      <c r="EZ26" s="181">
        <f t="shared" si="65"/>
        <v>8.5</v>
      </c>
      <c r="FA26" s="177">
        <f t="shared" si="66"/>
        <v>32</v>
      </c>
      <c r="FB26" s="29">
        <f>IF($FF$34=9,IF(FD15=0,0,1),1)</f>
        <v>1</v>
      </c>
      <c r="FC26" s="257" t="str">
        <f>"ab 9%"</f>
        <v>ab 9%</v>
      </c>
      <c r="FD26" s="128" t="s">
        <v>85</v>
      </c>
      <c r="FE26" s="181">
        <f t="shared" si="67"/>
        <v>8.5</v>
      </c>
      <c r="FF26" s="177">
        <f t="shared" si="68"/>
        <v>32</v>
      </c>
      <c r="FG26" s="29">
        <f>IF($FF$34=9,IF(FI15=0,0,1),1)</f>
        <v>1</v>
      </c>
      <c r="FH26" s="257" t="str">
        <f>"ab 9%"</f>
        <v>ab 9%</v>
      </c>
      <c r="FI26" s="128" t="s">
        <v>85</v>
      </c>
      <c r="FJ26" s="181">
        <f t="shared" si="69"/>
        <v>25.5</v>
      </c>
      <c r="FK26" s="177">
        <f t="shared" si="70"/>
        <v>40</v>
      </c>
      <c r="FL26" s="29">
        <f>IF($FF$34=9,IF(FN15=0,0,1),1)</f>
        <v>1</v>
      </c>
      <c r="FM26" s="257" t="str">
        <f>"ab 9%"</f>
        <v>ab 9%</v>
      </c>
      <c r="FN26" s="128" t="s">
        <v>85</v>
      </c>
      <c r="FO26" s="181">
        <f t="shared" si="71"/>
        <v>24</v>
      </c>
      <c r="FP26" s="177">
        <f t="shared" si="72"/>
        <v>39</v>
      </c>
      <c r="FQ26" s="29">
        <f>IF($FF$34=9,IF(FS15=0,0,1),1)</f>
        <v>1</v>
      </c>
      <c r="FR26" s="257" t="str">
        <f>"ab 9%"</f>
        <v>ab 9%</v>
      </c>
      <c r="FS26" s="128" t="s">
        <v>85</v>
      </c>
      <c r="FT26" s="181">
        <f t="shared" si="73"/>
        <v>-1E-05</v>
      </c>
      <c r="FU26" s="177">
        <f t="shared" si="74"/>
        <v>3</v>
      </c>
      <c r="FV26" s="29">
        <f>IF($FF$34=9,IF(FX15=0,0,1),1)</f>
        <v>1</v>
      </c>
      <c r="FW26" s="257" t="str">
        <f>"ab 9%"</f>
        <v>ab 9%</v>
      </c>
      <c r="FX26" s="128" t="s">
        <v>85</v>
      </c>
      <c r="FY26" s="181">
        <f t="shared" si="75"/>
        <v>-1E-05</v>
      </c>
      <c r="FZ26" s="177">
        <f t="shared" si="76"/>
        <v>3</v>
      </c>
      <c r="GA26" s="29">
        <f>IF($FF$34=9,IF(GC15=0,0,1),1)</f>
        <v>1</v>
      </c>
      <c r="GB26" s="257" t="str">
        <f>"ab 9%"</f>
        <v>ab 9%</v>
      </c>
      <c r="GC26" s="128" t="s">
        <v>85</v>
      </c>
      <c r="GD26" s="181">
        <f t="shared" si="77"/>
        <v>-1E-05</v>
      </c>
      <c r="GE26" s="177">
        <f t="shared" si="78"/>
        <v>6</v>
      </c>
      <c r="GF26" s="29">
        <f>IF($FF$34=9,IF(GH15=0,0,1),1)</f>
        <v>1</v>
      </c>
      <c r="GG26" s="257" t="str">
        <f>"ab 9%"</f>
        <v>ab 9%</v>
      </c>
      <c r="GH26" s="128" t="s">
        <v>85</v>
      </c>
      <c r="GI26" s="181">
        <f t="shared" si="79"/>
        <v>5</v>
      </c>
      <c r="GJ26" s="177">
        <f t="shared" si="80"/>
        <v>13.5</v>
      </c>
      <c r="GK26" s="29">
        <f>IF($FF$34=9,IF(GM15=0,0,1),1)</f>
        <v>1</v>
      </c>
      <c r="GL26" s="257" t="str">
        <f>"ab 9%"</f>
        <v>ab 9%</v>
      </c>
      <c r="GM26" s="128" t="s">
        <v>85</v>
      </c>
      <c r="GN26" s="181">
        <f t="shared" si="81"/>
        <v>13.5</v>
      </c>
      <c r="GO26" s="177">
        <f t="shared" si="82"/>
        <v>22</v>
      </c>
      <c r="GP26" s="29">
        <f>IF($FF$34=9,IF(GR15=0,0,1),1)</f>
        <v>1</v>
      </c>
      <c r="GQ26" s="257" t="str">
        <f>"ab 9%"</f>
        <v>ab 9%</v>
      </c>
      <c r="GR26" s="128" t="s">
        <v>85</v>
      </c>
      <c r="GS26" s="181">
        <f t="shared" si="83"/>
        <v>4</v>
      </c>
      <c r="GT26" s="177">
        <f t="shared" si="84"/>
        <v>12</v>
      </c>
      <c r="GU26" s="29">
        <f>IF($FF$34=9,IF(GW15=0,0,1),1)</f>
        <v>1</v>
      </c>
      <c r="GV26" s="257" t="str">
        <f>"ab 9%"</f>
        <v>ab 9%</v>
      </c>
      <c r="GW26" s="128" t="s">
        <v>85</v>
      </c>
      <c r="GX26" s="181">
        <f t="shared" si="85"/>
        <v>20</v>
      </c>
      <c r="GY26" s="177">
        <f t="shared" si="86"/>
        <v>31.5</v>
      </c>
      <c r="GZ26" s="29">
        <f>IF($FF$34=9,IF(HB15=0,0,1),1)</f>
        <v>1</v>
      </c>
      <c r="HA26" s="257" t="str">
        <f>"ab 9%"</f>
        <v>ab 9%</v>
      </c>
      <c r="HB26" s="128" t="s">
        <v>85</v>
      </c>
      <c r="HC26" s="181">
        <f t="shared" si="87"/>
        <v>-1E-05</v>
      </c>
      <c r="HD26" s="177">
        <f t="shared" si="88"/>
        <v>12</v>
      </c>
      <c r="HE26" s="29">
        <f>IF($FF$34=9,IF(HG15=0,0,1),1)</f>
        <v>1</v>
      </c>
      <c r="HF26" s="257" t="str">
        <f>"ab 9%"</f>
        <v>ab 9%</v>
      </c>
      <c r="HG26" s="128" t="s">
        <v>85</v>
      </c>
      <c r="HH26" s="181">
        <f t="shared" si="89"/>
        <v>3</v>
      </c>
      <c r="HI26" s="177">
        <f t="shared" si="90"/>
        <v>9</v>
      </c>
      <c r="HJ26" s="29">
        <f>IF($FF$34=9,IF(HL15=0,0,1),1)</f>
        <v>1</v>
      </c>
      <c r="HK26" s="257" t="str">
        <f>"ab 9%"</f>
        <v>ab 9%</v>
      </c>
      <c r="HL26" s="128" t="s">
        <v>85</v>
      </c>
      <c r="HM26" s="181">
        <f t="shared" si="91"/>
        <v>3</v>
      </c>
      <c r="HN26" s="177">
        <f t="shared" si="92"/>
        <v>9</v>
      </c>
      <c r="HO26" s="29">
        <f>IF($FF$34=9,IF(HQ15=0,0,1),1)</f>
        <v>1</v>
      </c>
      <c r="HP26" s="257" t="str">
        <f>"ab 9%"</f>
        <v>ab 9%</v>
      </c>
      <c r="HQ26" s="128" t="s">
        <v>85</v>
      </c>
      <c r="HR26" s="181">
        <f t="shared" si="93"/>
        <v>-1E-05</v>
      </c>
      <c r="HS26" s="177">
        <f t="shared" si="94"/>
        <v>3</v>
      </c>
      <c r="HT26" s="29">
        <f>IF($FF$34=9,IF(HV15=0,0,1),1)</f>
        <v>1</v>
      </c>
      <c r="HU26" s="257" t="str">
        <f>"ab 9%"</f>
        <v>ab 9%</v>
      </c>
      <c r="HV26" s="128" t="s">
        <v>85</v>
      </c>
      <c r="HW26" s="181">
        <f t="shared" si="95"/>
        <v>-1E-05</v>
      </c>
      <c r="HX26" s="177">
        <f t="shared" si="96"/>
        <v>5.5</v>
      </c>
      <c r="HY26" s="29">
        <f>IF($FF$34=9,IF(IA15=0,0,1),1)</f>
        <v>1</v>
      </c>
      <c r="HZ26" s="257" t="str">
        <f>"ab 9%"</f>
        <v>ab 9%</v>
      </c>
      <c r="IA26" s="128" t="s">
        <v>85</v>
      </c>
      <c r="IB26" s="181">
        <f t="shared" si="97"/>
        <v>3</v>
      </c>
      <c r="IC26" s="177">
        <f t="shared" si="98"/>
        <v>9</v>
      </c>
      <c r="ID26" s="29">
        <f>IF($FF$34=9,IF(IF15=0,0,1),1)</f>
        <v>1</v>
      </c>
      <c r="IE26" s="257" t="str">
        <f>"ab 9%"</f>
        <v>ab 9%</v>
      </c>
      <c r="IF26" s="128" t="s">
        <v>85</v>
      </c>
      <c r="IG26" s="181">
        <f t="shared" si="99"/>
        <v>-1E-05</v>
      </c>
      <c r="IH26" s="177">
        <f t="shared" si="100"/>
        <v>6</v>
      </c>
      <c r="II26" s="29">
        <f>IF($FF$34=9,IF(IK15=0,0,1),1)</f>
        <v>1</v>
      </c>
      <c r="IJ26" s="257" t="str">
        <f>"ab 9%"</f>
        <v>ab 9%</v>
      </c>
      <c r="IK26" s="128" t="s">
        <v>85</v>
      </c>
      <c r="IL26" s="61"/>
    </row>
    <row r="27" spans="1:246" ht="12" customHeight="1" thickBot="1">
      <c r="A27" s="60"/>
      <c r="B27" s="6" t="s">
        <v>120</v>
      </c>
      <c r="C27" s="172">
        <v>0.06</v>
      </c>
      <c r="D27" s="3"/>
      <c r="E27" s="126" t="s">
        <v>121</v>
      </c>
      <c r="F27" s="101" t="str">
        <f>IF(F25="","-",F24*F24*F23*F25)</f>
        <v>-</v>
      </c>
      <c r="H27" s="10" t="str">
        <f>IF(J8="ja","-",IF(J8="-","-","   Diopsid-Grp.), Mg-Fe-/Fe-Chlorite"))</f>
        <v>-</v>
      </c>
      <c r="I27" s="3"/>
      <c r="J27" s="6"/>
      <c r="L27" s="10" t="str">
        <f>IF(N9="ja","-",IF(N9="-","-","(Al) Hornblenden, Montmorillonit,"))</f>
        <v>-</v>
      </c>
      <c r="M27" s="3"/>
      <c r="N27" s="6"/>
      <c r="P27" s="10" t="str">
        <f>IF(R8="ja","-",IF(R8="-","-",IF(C43&lt;2,"(Ca) Anthoph., Pig., Olivin, Orthopyr.","(Ca) Anthophyllit, Pigeonit,")))</f>
        <v>-</v>
      </c>
      <c r="Q27" s="3"/>
      <c r="R27" s="6"/>
      <c r="T27" s="10" t="str">
        <f>IF(V8="ja","-",IF(V8="-","-",IF(C43&lt;2,"(Ca) Anthoph., Pig., Olivin, Orthopyr.","(Ca) Anthophyllit, Pigeonit,")))</f>
        <v>-</v>
      </c>
      <c r="U27" s="3"/>
      <c r="V27" s="6"/>
      <c r="X27" s="60"/>
      <c r="Y27" s="129" t="s">
        <v>87</v>
      </c>
      <c r="Z27" s="182">
        <f t="shared" si="13"/>
        <v>-1E-05</v>
      </c>
      <c r="AA27" s="178">
        <f t="shared" si="14"/>
        <v>1</v>
      </c>
      <c r="AB27" s="258"/>
      <c r="AC27" s="21" t="str">
        <f>IF(AB17=0,AC17,IF(AB18=0,AC18,IF(AB19=0,AC19,IF(AB20=0,AC20,IF(AB21=0,AC21,IF(AB22=0,AC22,"-"))))))</f>
        <v>-</v>
      </c>
      <c r="AD27" s="129" t="s">
        <v>87</v>
      </c>
      <c r="AE27" s="182">
        <f t="shared" si="15"/>
        <v>-1E-05</v>
      </c>
      <c r="AF27" s="178">
        <f t="shared" si="16"/>
        <v>1</v>
      </c>
      <c r="AG27" s="258"/>
      <c r="AH27" s="21" t="str">
        <f>IF(AG17=0,AH17,IF(AG18=0,AH18,IF(AG19=0,AH19,IF(AG20=0,AH20,IF(AG21=0,AH21,IF(AG22=0,AH22,"-"))))))</f>
        <v>-</v>
      </c>
      <c r="AI27" s="129" t="s">
        <v>87</v>
      </c>
      <c r="AJ27" s="182">
        <f t="shared" si="17"/>
        <v>-1E-05</v>
      </c>
      <c r="AK27" s="178">
        <f t="shared" si="18"/>
        <v>3</v>
      </c>
      <c r="AL27" s="258"/>
      <c r="AM27" s="21" t="str">
        <f>IF(AL17=0,AM17,IF(AL18=0,AM18,IF(AL19=0,AM19,IF(AL20=0,AM20,IF(AL21=0,AM21,IF(AL22=0,AM22,"-"))))))</f>
        <v>-</v>
      </c>
      <c r="AN27" s="129" t="s">
        <v>87</v>
      </c>
      <c r="AO27" s="182">
        <f t="shared" si="19"/>
        <v>-1E-05</v>
      </c>
      <c r="AP27" s="178">
        <f t="shared" si="20"/>
        <v>3</v>
      </c>
      <c r="AQ27" s="258"/>
      <c r="AR27" s="21" t="str">
        <f>IF(AQ17=0,AR17,IF(AQ18=0,AR18,IF(AQ19=0,AR19,IF(AQ20=0,AR20,IF(AQ21=0,AR21,IF(AQ22=0,AR22,"-"))))))</f>
        <v>-</v>
      </c>
      <c r="AS27" s="129" t="s">
        <v>87</v>
      </c>
      <c r="AT27" s="182">
        <f t="shared" si="21"/>
        <v>-1E-05</v>
      </c>
      <c r="AU27" s="178">
        <f t="shared" si="22"/>
        <v>3</v>
      </c>
      <c r="AV27" s="258"/>
      <c r="AW27" s="21" t="str">
        <f>IF(AV17=0,AW17,IF(AV18=0,AW18,IF(AV19=0,AW19,IF(AV20=0,AW20,IF(AV21=0,AW21,IF(AV22=0,AW22,"-"))))))</f>
        <v>-</v>
      </c>
      <c r="AX27" s="129" t="s">
        <v>87</v>
      </c>
      <c r="AY27" s="182">
        <f t="shared" si="23"/>
        <v>-1E-05</v>
      </c>
      <c r="AZ27" s="178">
        <f t="shared" si="24"/>
        <v>3</v>
      </c>
      <c r="BA27" s="258"/>
      <c r="BB27" s="21" t="str">
        <f>IF(BA17=0,BB17,IF(BA18=0,BB18,IF(BA19=0,BB19,IF(BA20=0,BB20,IF(BA21=0,BB21,IF(BA22=0,BB22,"-"))))))</f>
        <v>-</v>
      </c>
      <c r="BC27" s="129" t="s">
        <v>87</v>
      </c>
      <c r="BD27" s="182">
        <f t="shared" si="25"/>
        <v>-1E-05</v>
      </c>
      <c r="BE27" s="178">
        <f t="shared" si="26"/>
        <v>3</v>
      </c>
      <c r="BF27" s="258"/>
      <c r="BG27" s="21" t="str">
        <f>IF(BF17=0,BG17,IF(BF18=0,BG18,IF(BF19=0,BG19,IF(BF20=0,BG20,IF(BF21=0,BG21,IF(BF22=0,BG22,"-"))))))</f>
        <v>-</v>
      </c>
      <c r="BH27" s="129" t="s">
        <v>87</v>
      </c>
      <c r="BI27" s="182">
        <f t="shared" si="27"/>
        <v>-1E-05</v>
      </c>
      <c r="BJ27" s="178">
        <f t="shared" si="28"/>
        <v>3</v>
      </c>
      <c r="BK27" s="258"/>
      <c r="BL27" s="21" t="str">
        <f>IF(BK17=0,BL17,IF(BK18=0,BL18,IF(BK19=0,BL19,IF(BK20=0,BL20,IF(BK21=0,BL21,IF(BK22=0,BL22,"-"))))))</f>
        <v>-</v>
      </c>
      <c r="BM27" s="129" t="s">
        <v>87</v>
      </c>
      <c r="BN27" s="182">
        <f t="shared" si="29"/>
        <v>-1E-05</v>
      </c>
      <c r="BO27" s="178">
        <f t="shared" si="30"/>
        <v>3</v>
      </c>
      <c r="BP27" s="258"/>
      <c r="BQ27" s="21" t="str">
        <f>IF(BP17=0,BQ17,IF(BP18=0,BQ18,IF(BP19=0,BQ19,IF(BP20=0,BQ20,IF(BP21=0,BQ21,IF(BP22=0,BQ22,"-"))))))</f>
        <v>-</v>
      </c>
      <c r="BR27" s="129" t="s">
        <v>87</v>
      </c>
      <c r="BS27" s="182">
        <f t="shared" si="31"/>
        <v>-1E-05</v>
      </c>
      <c r="BT27" s="178">
        <f t="shared" si="32"/>
        <v>3</v>
      </c>
      <c r="BU27" s="258"/>
      <c r="BV27" s="21" t="str">
        <f>IF(BU17=0,BV17,IF(BU18=0,BV18,IF(BU19=0,BV19,IF(BU20=0,BV20,IF(BU21=0,BV21,IF(BU22=0,BV22,"-"))))))</f>
        <v>-</v>
      </c>
      <c r="BW27" s="129" t="s">
        <v>87</v>
      </c>
      <c r="BX27" s="182">
        <f t="shared" si="33"/>
        <v>-1E-05</v>
      </c>
      <c r="BY27" s="178">
        <f t="shared" si="34"/>
        <v>3</v>
      </c>
      <c r="BZ27" s="258"/>
      <c r="CA27" s="21" t="str">
        <f>IF(BZ17=0,CA17,IF(BZ18=0,CA18,IF(BZ19=0,CA19,IF(BZ20=0,CA20,IF(BZ21=0,CA21,IF(BZ22=0,CA22,"-"))))))</f>
        <v>-</v>
      </c>
      <c r="CB27" s="129" t="s">
        <v>87</v>
      </c>
      <c r="CC27" s="182">
        <f t="shared" si="35"/>
        <v>-1E-05</v>
      </c>
      <c r="CD27" s="178">
        <f t="shared" si="36"/>
        <v>3</v>
      </c>
      <c r="CE27" s="258"/>
      <c r="CF27" s="21" t="str">
        <f>IF(CE17=0,CF17,IF(CE18=0,CF18,IF(CE19=0,CF19,IF(CE20=0,CF20,IF(CE21=0,CF21,IF(CE22=0,CF22,"-"))))))</f>
        <v>-</v>
      </c>
      <c r="CG27" s="129" t="s">
        <v>87</v>
      </c>
      <c r="CH27" s="182">
        <f t="shared" si="37"/>
        <v>-1E-05</v>
      </c>
      <c r="CI27" s="178">
        <f t="shared" si="38"/>
        <v>1</v>
      </c>
      <c r="CJ27" s="258"/>
      <c r="CK27" s="21" t="str">
        <f>IF(CJ17=0,CK17,IF(CJ18=0,CK18,IF(CJ19=0,CK19,IF(CJ20=0,CK20,IF(CJ21=0,CK21,IF(CJ22=0,CK22,"-"))))))</f>
        <v>-</v>
      </c>
      <c r="CL27" s="129" t="s">
        <v>87</v>
      </c>
      <c r="CM27" s="182">
        <f t="shared" si="39"/>
        <v>-1E-05</v>
      </c>
      <c r="CN27" s="178">
        <f t="shared" si="40"/>
        <v>1</v>
      </c>
      <c r="CO27" s="258"/>
      <c r="CP27" s="21" t="str">
        <f>IF(CO17=0,CP17,IF(CO18=0,CP18,IF(CO19=0,CP19,IF(CO20=0,CP20,IF(CO21=0,CP21,IF(CO22=0,CP22,"-"))))))</f>
        <v>-</v>
      </c>
      <c r="CQ27" s="129" t="s">
        <v>87</v>
      </c>
      <c r="CR27" s="182">
        <f t="shared" si="41"/>
        <v>-1E-05</v>
      </c>
      <c r="CS27" s="178">
        <f t="shared" si="42"/>
        <v>1</v>
      </c>
      <c r="CT27" s="258"/>
      <c r="CU27" s="21" t="str">
        <f>IF(CT17=0,CU17,IF(CT18=0,CU18,IF(CT19=0,CU19,IF(CT20=0,CU20,IF(CT21=0,CU21,IF(CT22=0,CU22,"-"))))))</f>
        <v>-</v>
      </c>
      <c r="CV27" s="129" t="s">
        <v>87</v>
      </c>
      <c r="CW27" s="182">
        <f t="shared" si="43"/>
        <v>-1E-05</v>
      </c>
      <c r="CX27" s="178">
        <f t="shared" si="44"/>
        <v>1</v>
      </c>
      <c r="CY27" s="258"/>
      <c r="CZ27" s="21" t="str">
        <f>IF(CY17=0,CZ17,IF(CY18=0,CZ18,IF(CY19=0,CZ19,IF(CY20=0,CZ20,IF(CY21=0,CZ21,IF(CY22=0,CZ22,"-"))))))</f>
        <v>-</v>
      </c>
      <c r="DA27" s="129" t="s">
        <v>87</v>
      </c>
      <c r="DB27" s="182">
        <f t="shared" si="45"/>
        <v>-1E-05</v>
      </c>
      <c r="DC27" s="178">
        <f t="shared" si="46"/>
        <v>2</v>
      </c>
      <c r="DD27" s="258"/>
      <c r="DE27" s="21" t="str">
        <f>IF(DD17=0,DE17,IF(DD18=0,DE18,IF(DD19=0,DE19,IF(DD20=0,DE20,IF(DD21=0,DE21,IF(DD22=0,DE22,"-"))))))</f>
        <v>-</v>
      </c>
      <c r="DF27" s="129" t="s">
        <v>87</v>
      </c>
      <c r="DG27" s="182">
        <f t="shared" si="47"/>
        <v>-1E-05</v>
      </c>
      <c r="DH27" s="178">
        <f t="shared" si="48"/>
        <v>3.5</v>
      </c>
      <c r="DI27" s="258"/>
      <c r="DJ27" s="21" t="str">
        <f>IF(DI17=0,DJ17,IF(DI18=0,DJ18,IF(DI19=0,DJ19,IF(DI20=0,DJ20,IF(DI21=0,DJ21,IF(DI22=0,DJ22,"-"))))))</f>
        <v>-</v>
      </c>
      <c r="DK27" s="129" t="s">
        <v>87</v>
      </c>
      <c r="DL27" s="182">
        <f t="shared" si="49"/>
        <v>-1E-05</v>
      </c>
      <c r="DM27" s="178">
        <f t="shared" si="50"/>
        <v>4.5</v>
      </c>
      <c r="DN27" s="258"/>
      <c r="DO27" s="21" t="str">
        <f>IF(DN17=0,DO17,IF(DN18=0,DO18,IF(DN19=0,DO19,IF(DN20=0,DO20,IF(DN21=0,DO21,IF(DN22=0,DO22,"-"))))))</f>
        <v>-</v>
      </c>
      <c r="DP27" s="129" t="s">
        <v>87</v>
      </c>
      <c r="DQ27" s="182">
        <f t="shared" si="51"/>
        <v>2.5</v>
      </c>
      <c r="DR27" s="178">
        <f t="shared" si="52"/>
        <v>8</v>
      </c>
      <c r="DS27" s="258"/>
      <c r="DT27" s="21" t="str">
        <f>IF(DS17=0,DT17,IF(DS18=0,DT18,IF(DS19=0,DT19,IF(DS20=0,DT20,IF(DS21=0,DT21,IF(DS22=0,DT22,"-"))))))</f>
        <v>-</v>
      </c>
      <c r="DU27" s="129" t="s">
        <v>87</v>
      </c>
      <c r="DV27" s="182">
        <f t="shared" si="53"/>
        <v>-1E-05</v>
      </c>
      <c r="DW27" s="178">
        <f t="shared" si="54"/>
        <v>3</v>
      </c>
      <c r="DX27" s="258"/>
      <c r="DY27" s="21" t="str">
        <f>IF(DX17=0,DY17,IF(DX18=0,DY18,IF(DX19=0,DY19,IF(DX20=0,DY20,IF(DX21=0,DY21,IF(DX22=0,DY22,"-"))))))</f>
        <v>-</v>
      </c>
      <c r="DZ27" s="129" t="s">
        <v>87</v>
      </c>
      <c r="EA27" s="182">
        <f t="shared" si="55"/>
        <v>-1E-05</v>
      </c>
      <c r="EB27" s="178">
        <f t="shared" si="56"/>
        <v>3</v>
      </c>
      <c r="EC27" s="258"/>
      <c r="ED27" s="21" t="str">
        <f>IF(EC17=0,ED17,IF(EC18=0,ED18,IF(EC19=0,ED19,IF(EC20=0,ED20,IF(EC21=0,ED21,IF(EC22=0,ED22,"-"))))))</f>
        <v>-</v>
      </c>
      <c r="EE27" s="129" t="s">
        <v>87</v>
      </c>
      <c r="EF27" s="182">
        <f t="shared" si="57"/>
        <v>-1E-05</v>
      </c>
      <c r="EG27" s="178">
        <f t="shared" si="58"/>
        <v>1</v>
      </c>
      <c r="EH27" s="258"/>
      <c r="EI27" s="21" t="str">
        <f>IF(EH17=0,EI17,IF(EH18=0,EI18,IF(EH19=0,EI19,IF(EH20=0,EI20,IF(EH21=0,EI21,IF(EH22=0,EI22,"-"))))))</f>
        <v>-</v>
      </c>
      <c r="EJ27" s="129" t="s">
        <v>87</v>
      </c>
      <c r="EK27" s="182">
        <f t="shared" si="59"/>
        <v>-1E-05</v>
      </c>
      <c r="EL27" s="178">
        <f t="shared" si="60"/>
        <v>1</v>
      </c>
      <c r="EM27" s="258"/>
      <c r="EN27" s="21" t="str">
        <f>IF(EM17=0,EN17,IF(EM18=0,EN18,IF(EM19=0,EN19,IF(EM20=0,EN20,IF(EM21=0,EN21,IF(EM22=0,EN22,"-"))))))</f>
        <v>-</v>
      </c>
      <c r="EO27" s="129" t="s">
        <v>87</v>
      </c>
      <c r="EP27" s="182">
        <f t="shared" si="61"/>
        <v>-1E-05</v>
      </c>
      <c r="EQ27" s="178">
        <f t="shared" si="62"/>
        <v>1</v>
      </c>
      <c r="ER27" s="258"/>
      <c r="ES27" s="21" t="str">
        <f>IF(ER17=0,ES17,IF(ER18=0,ES18,IF(ER19=0,ES19,IF(ER20=0,ES20,IF(ER21=0,ES21,IF(ER22=0,ES22,"-"))))))</f>
        <v>-</v>
      </c>
      <c r="ET27" s="129" t="s">
        <v>87</v>
      </c>
      <c r="EU27" s="182">
        <f t="shared" si="63"/>
        <v>-1E-05</v>
      </c>
      <c r="EV27" s="178">
        <f t="shared" si="64"/>
        <v>1</v>
      </c>
      <c r="EW27" s="258"/>
      <c r="EX27" s="21" t="str">
        <f>IF(EW17=0,EX17,IF(EW18=0,EX18,IF(EW19=0,EX19,IF(EW20=0,EX20,IF(EW21=0,EX21,IF(EW22=0,EX22,"-"))))))</f>
        <v>-</v>
      </c>
      <c r="EY27" s="129" t="s">
        <v>87</v>
      </c>
      <c r="EZ27" s="182">
        <f t="shared" si="65"/>
        <v>-1E-05</v>
      </c>
      <c r="FA27" s="178">
        <f t="shared" si="66"/>
        <v>1</v>
      </c>
      <c r="FB27" s="258"/>
      <c r="FC27" s="21" t="str">
        <f>IF(FB17=0,FC17,IF(FB18=0,FC18,IF(FB19=0,FC19,IF(FB20=0,FC20,IF(FB21=0,FC21,IF(FB22=0,FC22,"-"))))))</f>
        <v>-</v>
      </c>
      <c r="FD27" s="129" t="s">
        <v>87</v>
      </c>
      <c r="FE27" s="182">
        <f t="shared" si="67"/>
        <v>-1E-05</v>
      </c>
      <c r="FF27" s="178">
        <f t="shared" si="68"/>
        <v>1</v>
      </c>
      <c r="FG27" s="258"/>
      <c r="FH27" s="21" t="str">
        <f>IF(FG17=0,FH17,IF(FG18=0,FH18,IF(FG19=0,FH19,IF(FG20=0,FH20,IF(FG21=0,FH21,IF(FG22=0,FH22,"-"))))))</f>
        <v>-</v>
      </c>
      <c r="FI27" s="129" t="s">
        <v>87</v>
      </c>
      <c r="FJ27" s="182">
        <f t="shared" si="69"/>
        <v>-1E-05</v>
      </c>
      <c r="FK27" s="178">
        <f t="shared" si="70"/>
        <v>1</v>
      </c>
      <c r="FL27" s="258"/>
      <c r="FM27" s="21" t="str">
        <f>IF(FL17=0,FM17,IF(FL18=0,FM18,IF(FL19=0,FM19,IF(FL20=0,FM20,IF(FL21=0,FM21,IF(FL22=0,FM22,"-"))))))</f>
        <v>-</v>
      </c>
      <c r="FN27" s="129" t="s">
        <v>87</v>
      </c>
      <c r="FO27" s="182">
        <f t="shared" si="71"/>
        <v>-1E-05</v>
      </c>
      <c r="FP27" s="178">
        <f t="shared" si="72"/>
        <v>1</v>
      </c>
      <c r="FQ27" s="258"/>
      <c r="FR27" s="21" t="str">
        <f>IF(FQ17=0,FR17,IF(FQ18=0,FR18,IF(FQ19=0,FR19,IF(FQ20=0,FR20,IF(FQ21=0,FR21,IF(FQ22=0,FR22,"-"))))))</f>
        <v>-</v>
      </c>
      <c r="FS27" s="129" t="s">
        <v>87</v>
      </c>
      <c r="FT27" s="182">
        <f t="shared" si="73"/>
        <v>-1E-05</v>
      </c>
      <c r="FU27" s="178">
        <f t="shared" si="74"/>
        <v>1</v>
      </c>
      <c r="FV27" s="258"/>
      <c r="FW27" s="21" t="str">
        <f>IF(FV17=0,FW17,IF(FV18=0,FW18,IF(FV19=0,FW19,IF(FV20=0,FW20,IF(FV21=0,FW21,IF(FV22=0,FW22,"-"))))))</f>
        <v>-</v>
      </c>
      <c r="FX27" s="129" t="s">
        <v>87</v>
      </c>
      <c r="FY27" s="182">
        <f t="shared" si="75"/>
        <v>-1E-05</v>
      </c>
      <c r="FZ27" s="178">
        <f t="shared" si="76"/>
        <v>1</v>
      </c>
      <c r="GA27" s="258"/>
      <c r="GB27" s="21" t="str">
        <f>IF(GA17=0,GB17,IF(GA18=0,GB18,IF(GA19=0,GB19,IF(GA20=0,GB20,IF(GA21=0,GB21,IF(GA22=0,GB22,"-"))))))</f>
        <v>-</v>
      </c>
      <c r="GC27" s="129" t="s">
        <v>87</v>
      </c>
      <c r="GD27" s="182">
        <f t="shared" si="77"/>
        <v>-1E-05</v>
      </c>
      <c r="GE27" s="178">
        <f t="shared" si="78"/>
        <v>3</v>
      </c>
      <c r="GF27" s="258"/>
      <c r="GG27" s="21" t="str">
        <f>IF(GF17=0,GG17,IF(GF18=0,GG18,IF(GF19=0,GG19,IF(GF20=0,GG20,IF(GF21=0,GG21,IF(GF22=0,GG22,"-"))))))</f>
        <v>-</v>
      </c>
      <c r="GH27" s="129" t="s">
        <v>87</v>
      </c>
      <c r="GI27" s="182">
        <f t="shared" si="79"/>
        <v>-1E-05</v>
      </c>
      <c r="GJ27" s="178">
        <f t="shared" si="80"/>
        <v>6</v>
      </c>
      <c r="GK27" s="258"/>
      <c r="GL27" s="21" t="str">
        <f>IF(GK17=0,GL17,IF(GK18=0,GL18,IF(GK19=0,GL19,IF(GK20=0,GL20,IF(GK21=0,GL21,IF(GK22=0,GL22,"-"))))))</f>
        <v>-</v>
      </c>
      <c r="GM27" s="129" t="s">
        <v>87</v>
      </c>
      <c r="GN27" s="182">
        <f t="shared" si="81"/>
        <v>-1E-05</v>
      </c>
      <c r="GO27" s="178">
        <f t="shared" si="82"/>
        <v>6</v>
      </c>
      <c r="GP27" s="258"/>
      <c r="GQ27" s="21" t="str">
        <f>IF(GP17=0,GQ17,IF(GP18=0,GQ18,IF(GP19=0,GQ19,IF(GP20=0,GQ20,IF(GP21=0,GQ21,IF(GP22=0,GQ22,"-"))))))</f>
        <v>-</v>
      </c>
      <c r="GR27" s="129" t="s">
        <v>87</v>
      </c>
      <c r="GS27" s="182">
        <f t="shared" si="83"/>
        <v>-1E-05</v>
      </c>
      <c r="GT27" s="178">
        <f t="shared" si="84"/>
        <v>1</v>
      </c>
      <c r="GU27" s="258"/>
      <c r="GV27" s="21" t="str">
        <f>IF(GU17=0,GV17,IF(GU18=0,GV18,IF(GU19=0,GV19,IF(GU20=0,GV20,IF(GU21=0,GV21,IF(GU22=0,GV22,"-"))))))</f>
        <v>-</v>
      </c>
      <c r="GW27" s="129" t="s">
        <v>87</v>
      </c>
      <c r="GX27" s="182">
        <f t="shared" si="85"/>
        <v>-1E-05</v>
      </c>
      <c r="GY27" s="178">
        <f t="shared" si="86"/>
        <v>1</v>
      </c>
      <c r="GZ27" s="258"/>
      <c r="HA27" s="21" t="str">
        <f>IF(GZ17=0,HA17,IF(GZ18=0,HA18,IF(GZ19=0,HA19,IF(GZ20=0,HA20,IF(GZ21=0,HA21,IF(GZ22=0,HA22,"-"))))))</f>
        <v>-</v>
      </c>
      <c r="HB27" s="129" t="s">
        <v>87</v>
      </c>
      <c r="HC27" s="182">
        <f t="shared" si="87"/>
        <v>-1E-05</v>
      </c>
      <c r="HD27" s="178">
        <f t="shared" si="88"/>
        <v>1</v>
      </c>
      <c r="HE27" s="258"/>
      <c r="HF27" s="21" t="str">
        <f>IF(HE17=0,HF17,IF(HE18=0,HF18,IF(HE19=0,HF19,IF(HE20=0,HF20,IF(HE21=0,HF21,IF(HE22=0,HF22,"-"))))))</f>
        <v>-</v>
      </c>
      <c r="HG27" s="129" t="s">
        <v>87</v>
      </c>
      <c r="HH27" s="182">
        <f t="shared" si="89"/>
        <v>-1E-05</v>
      </c>
      <c r="HI27" s="178">
        <f t="shared" si="90"/>
        <v>1</v>
      </c>
      <c r="HJ27" s="258"/>
      <c r="HK27" s="21" t="str">
        <f>IF(HJ17=0,HK17,IF(HJ18=0,HK18,IF(HJ19=0,HK19,IF(HJ20=0,HK20,IF(HJ21=0,HK21,IF(HJ22=0,HK22,"-"))))))</f>
        <v>-</v>
      </c>
      <c r="HL27" s="129" t="s">
        <v>87</v>
      </c>
      <c r="HM27" s="182">
        <f t="shared" si="91"/>
        <v>-1E-05</v>
      </c>
      <c r="HN27" s="178">
        <f t="shared" si="92"/>
        <v>1</v>
      </c>
      <c r="HO27" s="258"/>
      <c r="HP27" s="21" t="str">
        <f>IF(HO17=0,HP17,IF(HO18=0,HP18,IF(HO19=0,HP19,IF(HO20=0,HP20,IF(HO21=0,HP21,IF(HO22=0,HP22,"-"))))))</f>
        <v>-</v>
      </c>
      <c r="HQ27" s="129" t="s">
        <v>87</v>
      </c>
      <c r="HR27" s="182">
        <f t="shared" si="93"/>
        <v>-1E-05</v>
      </c>
      <c r="HS27" s="178">
        <f t="shared" si="94"/>
        <v>1</v>
      </c>
      <c r="HT27" s="258"/>
      <c r="HU27" s="21" t="str">
        <f>IF(HT17=0,HU17,IF(HT18=0,HU18,IF(HT19=0,HU19,IF(HT20=0,HU20,IF(HT21=0,HU21,IF(HT22=0,HU22,"-"))))))</f>
        <v>-</v>
      </c>
      <c r="HV27" s="129" t="s">
        <v>87</v>
      </c>
      <c r="HW27" s="182">
        <f t="shared" si="95"/>
        <v>-1E-05</v>
      </c>
      <c r="HX27" s="178">
        <f t="shared" si="96"/>
        <v>1</v>
      </c>
      <c r="HY27" s="258"/>
      <c r="HZ27" s="21" t="str">
        <f>IF(HY17=0,HZ17,IF(HY18=0,HZ18,IF(HY19=0,HZ19,IF(HY20=0,HZ20,IF(HY21=0,HZ21,IF(HY22=0,HZ22,"-"))))))</f>
        <v>-</v>
      </c>
      <c r="IA27" s="129" t="s">
        <v>87</v>
      </c>
      <c r="IB27" s="182">
        <f t="shared" si="97"/>
        <v>-1E-05</v>
      </c>
      <c r="IC27" s="178">
        <f t="shared" si="98"/>
        <v>1</v>
      </c>
      <c r="ID27" s="258"/>
      <c r="IE27" s="21" t="str">
        <f>IF(ID17=0,IE17,IF(ID18=0,IE18,IF(ID19=0,IE19,IF(ID20=0,IE20,IF(ID21=0,IE21,IF(ID22=0,IE22,"-"))))))</f>
        <v>-</v>
      </c>
      <c r="IF27" s="129" t="s">
        <v>87</v>
      </c>
      <c r="IG27" s="182">
        <f t="shared" si="99"/>
        <v>-1E-05</v>
      </c>
      <c r="IH27" s="178">
        <f t="shared" si="100"/>
        <v>1.5</v>
      </c>
      <c r="II27" s="258"/>
      <c r="IJ27" s="21" t="str">
        <f>IF(II17=0,IJ17,IF(II18=0,IJ18,IF(II19=0,IJ19,IF(II20=0,IJ20,IF(II21=0,IJ21,IF(II22=0,IJ22,"-"))))))</f>
        <v>-</v>
      </c>
      <c r="IK27" s="129" t="s">
        <v>87</v>
      </c>
      <c r="IL27" s="61"/>
    </row>
    <row r="28" spans="1:246" ht="12" customHeight="1">
      <c r="A28" s="60"/>
      <c r="B28" s="6" t="s">
        <v>122</v>
      </c>
      <c r="C28" s="124"/>
      <c r="D28" s="3"/>
      <c r="E28" s="126" t="s">
        <v>123</v>
      </c>
      <c r="F28" s="101">
        <f>IF(A32="  -","-",CW57)</f>
        <v>3</v>
      </c>
      <c r="H28" s="10" t="str">
        <f>IF(J18="ja","-",IF(J18="-","-","(Si/Al) Chlorite, Glimmer"))</f>
        <v>-</v>
      </c>
      <c r="I28" s="3"/>
      <c r="J28" s="6"/>
      <c r="L28" s="10" t="str">
        <f>IF(N9="ja","-",IF(N9="-","-","   Vermiculit, Chlorite, Epi.-Pump."))</f>
        <v>-</v>
      </c>
      <c r="M28" s="3"/>
      <c r="N28" s="6"/>
      <c r="P28" s="10" t="str">
        <f>IF(R8="ja","-",IF(R8="-","-",IF(C43&lt;2,"   Chrysotil, Talk, Vermiculit, Saponit","   Chrysotil")))</f>
        <v>-</v>
      </c>
      <c r="Q28" s="3"/>
      <c r="R28" s="6"/>
      <c r="T28" s="10" t="str">
        <f>IF(V8="ja","-",IF(V8="-","-",IF(C43&lt;2,"   Chrysotil, Talk, Vermiculit, Saponit","   Chrysotil")))</f>
        <v>-</v>
      </c>
      <c r="U28" s="3"/>
      <c r="V28" s="6"/>
      <c r="X28" s="60"/>
      <c r="Y28" s="3"/>
      <c r="Z28" s="3"/>
      <c r="AA28" s="3"/>
      <c r="AB28" s="9">
        <f>I36</f>
      </c>
      <c r="AC28" s="22" t="str">
        <f>IF(AB28="",IF(AC27="-",IF(AB23=0,AC23,IF(AB24=0,AC24,IF(AB25=0,AC25,IF(AB26=0,AC26,"-")))),AC27),AB28)</f>
        <v>-</v>
      </c>
      <c r="AD28" s="3"/>
      <c r="AE28" s="3"/>
      <c r="AF28" s="3"/>
      <c r="AG28" s="265">
        <f>I37</f>
      </c>
      <c r="AH28" s="22" t="str">
        <f>IF(AG28="",IF(AH27="-",IF(AG23=0,AH23,IF(AG24=0,AH24,IF(AG25=0,AH25,IF(AG26=0,AH26,"-")))),AH27),AG28)</f>
        <v>-</v>
      </c>
      <c r="AI28" s="3"/>
      <c r="AJ28" s="3"/>
      <c r="AK28" s="3"/>
      <c r="AL28" s="265">
        <f>I38</f>
      </c>
      <c r="AM28" s="22" t="str">
        <f>IF(AL28="",IF(AM27="-",IF(AL23=0,AM23,IF(AL24=0,AM24,IF(AL25=0,AM25,IF(AL26=0,AM26,"-")))),AM27),AL28)</f>
        <v>-</v>
      </c>
      <c r="AN28" s="3"/>
      <c r="AO28" s="3"/>
      <c r="AP28" s="3"/>
      <c r="AQ28" s="265">
        <f>I39</f>
      </c>
      <c r="AR28" s="22" t="str">
        <f>IF(AQ28="",IF(AR27="-",IF(AQ23=0,AR23,IF(AQ24=0,AR24,IF(AQ25=0,AR25,IF(AQ26=0,AR26,"-")))),AR27),AQ28)</f>
        <v>-</v>
      </c>
      <c r="AS28" s="3"/>
      <c r="AT28" s="3"/>
      <c r="AU28" s="3"/>
      <c r="AV28" s="265">
        <f>I40</f>
      </c>
      <c r="AW28" s="22" t="str">
        <f>IF(AV28="",IF(AW27="-",IF(AV23=0,AW23,IF(AV24=0,AW24,IF(AV25=0,AW25,IF(AV26=0,AW26,"-")))),AW27),AV28)</f>
        <v>-</v>
      </c>
      <c r="AX28" s="3"/>
      <c r="AY28" s="3"/>
      <c r="AZ28" s="3"/>
      <c r="BA28" s="265">
        <f>I41</f>
      </c>
      <c r="BB28" s="22" t="str">
        <f>IF(BA28="",IF(BB27="-",IF(BA23=0,BB23,IF(BA24=0,BB24,IF(BA25=0,BB25,IF(BA26=0,BB26,"-")))),BB27),BA28)</f>
        <v>-</v>
      </c>
      <c r="BC28" s="3"/>
      <c r="BD28" s="3"/>
      <c r="BE28" s="3"/>
      <c r="BF28" s="265">
        <f>I42</f>
      </c>
      <c r="BG28" s="22" t="str">
        <f>IF(BF28="",IF(BG27="-",IF(BF23=0,BG23,IF(BF24=0,BG24,IF(BF25=0,BG25,IF(BF26=0,BG26,"-")))),BG27),BF28)</f>
        <v>-</v>
      </c>
      <c r="BH28" s="3"/>
      <c r="BI28" s="3"/>
      <c r="BJ28" s="3"/>
      <c r="BK28" s="265">
        <f>I43</f>
      </c>
      <c r="BL28" s="22" t="str">
        <f>IF(BK28="",IF(BL27="-",IF(BK23=0,BL23,IF(BK24=0,BL24,IF(BK25=0,BL25,IF(BK26=0,BL26,"-")))),BL27),BK28)</f>
        <v>-</v>
      </c>
      <c r="BM28" s="3"/>
      <c r="BN28" s="3"/>
      <c r="BO28" s="3"/>
      <c r="BP28" s="265">
        <f>I44</f>
      </c>
      <c r="BQ28" s="22" t="str">
        <f>IF(BP28="",IF(BQ27="-",IF(BP23=0,BQ23,IF(BP24=0,BQ24,IF(BP25=0,BQ25,IF(BP26=0,BQ26,"-")))),BQ27),BP28)</f>
        <v>-</v>
      </c>
      <c r="BR28" s="3"/>
      <c r="BS28" s="3"/>
      <c r="BT28" s="3"/>
      <c r="BU28" s="265">
        <f>I45</f>
      </c>
      <c r="BV28" s="22" t="str">
        <f>IF(BU28="",IF(BV27="-",IF(BU23=0,BV23,IF(BU24=0,BV24,IF(BU25=0,BV25,IF(BU26=0,BV26,"-")))),BV27),BU28)</f>
        <v>-</v>
      </c>
      <c r="BW28" s="3"/>
      <c r="BX28" s="3"/>
      <c r="BY28" s="3"/>
      <c r="BZ28" s="265">
        <f>I46</f>
      </c>
      <c r="CA28" s="22" t="str">
        <f>IF(BZ28="",IF(CA27="-",IF(BZ23=0,CA23,IF(BZ24=0,CA24,IF(BZ25=0,CA25,IF(BZ26=0,CA26,"-")))),CA27),BZ28)</f>
        <v>-</v>
      </c>
      <c r="CB28" s="3"/>
      <c r="CC28" s="3"/>
      <c r="CD28" s="3"/>
      <c r="CE28" s="265">
        <f>M36</f>
      </c>
      <c r="CF28" s="22" t="str">
        <f>IF(CE28="",IF(CF27="-",IF(CE23=0,CF23,IF(CE24=0,CF24,IF(CE25=0,CF25,IF(CE26=0,CF26,"-")))),CF27),CE28)</f>
        <v>-</v>
      </c>
      <c r="CG28" s="3"/>
      <c r="CH28" s="3"/>
      <c r="CI28" s="3"/>
      <c r="CJ28" s="265">
        <f>M37</f>
      </c>
      <c r="CK28" s="22" t="str">
        <f>IF(CJ28="",IF(CK27="-",IF(CJ23=0,CK23,IF(CJ24=0,CK24,IF(CJ25=0,CK25,IF(CJ26=0,CK26,"-")))),CK27),CJ28)</f>
        <v>-</v>
      </c>
      <c r="CL28" s="3"/>
      <c r="CM28" s="3"/>
      <c r="CN28" s="3"/>
      <c r="CO28" s="265">
        <f>M38</f>
      </c>
      <c r="CP28" s="22" t="str">
        <f>IF(CO28="",IF(CP27="-",IF(CO23=0,CP23,IF(CO24=0,CP24,IF(CO25=0,CP25,IF(CO26=0,CP26,"-")))),CP27),CO28)</f>
        <v>-</v>
      </c>
      <c r="CQ28" s="3"/>
      <c r="CR28" s="3"/>
      <c r="CS28" s="3"/>
      <c r="CT28" s="265">
        <f>M39</f>
      </c>
      <c r="CU28" s="22" t="str">
        <f>IF(CT28="",IF(CU27="-",IF(CT23=0,CU23,IF(CT24=0,CU24,IF(CT25=0,CU25,IF(CT26=0,CU26,"-")))),CU27),CT28)</f>
        <v>-</v>
      </c>
      <c r="CV28" s="3"/>
      <c r="CW28" s="3"/>
      <c r="CX28" s="3"/>
      <c r="CY28" s="265">
        <f>M40</f>
      </c>
      <c r="CZ28" s="22" t="str">
        <f>IF(CY28="",IF(CZ27="-",IF(CY23=0,CZ23,IF(CY24=0,CZ24,IF(CY25=0,CZ25,IF(CY26=0,CZ26,"-")))),CZ27),CY28)</f>
        <v>-</v>
      </c>
      <c r="DA28" s="3"/>
      <c r="DB28" s="3"/>
      <c r="DC28" s="3"/>
      <c r="DD28" s="265">
        <f>M41</f>
      </c>
      <c r="DE28" s="22" t="str">
        <f>IF(DD28="",IF(DE27="-",IF(DD23=0,DE23,IF(DD24=0,DE24,IF(DD25=0,DE25,IF(DD26=0,DE26,"-")))),DE27),DD28)</f>
        <v>-</v>
      </c>
      <c r="DF28" s="3"/>
      <c r="DG28" s="3"/>
      <c r="DH28" s="3"/>
      <c r="DI28" s="265">
        <f>M42</f>
      </c>
      <c r="DJ28" s="22" t="str">
        <f>IF(DI28="",IF(DJ27="-",IF(DI23=0,DJ23,IF(DI24=0,DJ24,IF(DI25=0,DJ25,IF(DI26=0,DJ26,"-")))),DJ27),DI28)</f>
        <v>-</v>
      </c>
      <c r="DK28" s="3"/>
      <c r="DL28" s="3"/>
      <c r="DM28" s="3"/>
      <c r="DN28" s="265">
        <f>M43</f>
      </c>
      <c r="DO28" s="22" t="str">
        <f>IF(DN28="",IF(DO27="-",IF(DN23=0,DO23,IF(DN24=0,DO24,IF(DN25=0,DO25,IF(DN26=0,DO26,"-")))),DO27),DN28)</f>
        <v>-</v>
      </c>
      <c r="DP28" s="3"/>
      <c r="DQ28" s="3"/>
      <c r="DR28" s="3"/>
      <c r="DS28" s="265">
        <f>M44</f>
      </c>
      <c r="DT28" s="22" t="str">
        <f>IF(DS28="",IF(DT27="-",IF(DS23=0,DT23,IF(DS24=0,DT24,IF(DS25=0,DT25,IF(DS26=0,DT26,"-")))),DT27),DS28)</f>
        <v>-</v>
      </c>
      <c r="DU28" s="3"/>
      <c r="DV28" s="3"/>
      <c r="DW28" s="3"/>
      <c r="DX28" s="265">
        <f>M45</f>
      </c>
      <c r="DY28" s="22" t="str">
        <f>IF(DX28="",IF(DY27="-",IF(DX23=0,DY23,IF(DX24=0,DY24,IF(DX25=0,DY25,IF(DX26=0,DY26,"-")))),DY27),DX28)</f>
        <v>-</v>
      </c>
      <c r="DZ28" s="3"/>
      <c r="EA28" s="3"/>
      <c r="EB28" s="3"/>
      <c r="EC28" s="265">
        <f>M46</f>
      </c>
      <c r="ED28" s="22" t="str">
        <f>IF(EC28="",IF(ED27="-",IF(EC23=0,ED23,IF(EC24=0,ED24,IF(EC25=0,ED25,IF(EC26=0,ED26,"-")))),ED27),EC28)</f>
        <v>-</v>
      </c>
      <c r="EE28" s="3"/>
      <c r="EF28" s="3"/>
      <c r="EG28" s="3"/>
      <c r="EH28" s="265">
        <f>Q36</f>
      </c>
      <c r="EI28" s="22" t="str">
        <f>IF(EH28="",IF(EI27="-",IF(EH23=0,EI23,IF(EH24=0,EI24,IF(EH25=0,EI25,IF(EH26=0,EI26,"-")))),EI27),EH28)</f>
        <v>-</v>
      </c>
      <c r="EJ28" s="3"/>
      <c r="EK28" s="3"/>
      <c r="EL28" s="3"/>
      <c r="EM28" s="265">
        <f>Q37</f>
      </c>
      <c r="EN28" s="22" t="str">
        <f>IF(EM28="",IF(EN27="-",IF(EM23=0,EN23,IF(EM24=0,EN24,IF(EM25=0,EN25,IF(EM26=0,EN26,"-")))),EN27),EM28)</f>
        <v>-</v>
      </c>
      <c r="EO28" s="3"/>
      <c r="EP28" s="3"/>
      <c r="EQ28" s="3"/>
      <c r="ER28" s="265">
        <f>Q38</f>
      </c>
      <c r="ES28" s="22" t="str">
        <f>IF(ER28="",IF(ES27="-",IF(ER23=0,ES23,IF(ER24=0,ES24,IF(ER25=0,ES25,IF(ER26=0,ES26,"-")))),ES27),ER28)</f>
        <v>-</v>
      </c>
      <c r="ET28" s="3"/>
      <c r="EU28" s="3"/>
      <c r="EV28" s="3"/>
      <c r="EW28" s="265">
        <f>Q39</f>
      </c>
      <c r="EX28" s="22" t="str">
        <f>IF(EW28="",IF(EX27="-",IF(EW23=0,EX23,IF(EW24=0,EX24,IF(EW25=0,EX25,IF(EW26=0,EX26,"-")))),EX27),EW28)</f>
        <v>-</v>
      </c>
      <c r="EY28" s="3"/>
      <c r="EZ28" s="3"/>
      <c r="FA28" s="3"/>
      <c r="FB28" s="265">
        <f>Q40</f>
      </c>
      <c r="FC28" s="22" t="str">
        <f>IF(FB28="",IF(FC27="-",IF(FB23=0,FC23,IF(FB24=0,FC24,IF(FB25=0,FC25,IF(FB26=0,FC26,"-")))),FC27),FB28)</f>
        <v>-</v>
      </c>
      <c r="FD28" s="3"/>
      <c r="FE28" s="3"/>
      <c r="FF28" s="3"/>
      <c r="FG28" s="265">
        <f>Q41</f>
      </c>
      <c r="FH28" s="22" t="str">
        <f>IF(FG28="",IF(FH27="-",IF(FG23=0,FH23,IF(FG24=0,FH24,IF(FG25=0,FH25,IF(FG26=0,FH26,"-")))),FH27),FG28)</f>
        <v>-</v>
      </c>
      <c r="FI28" s="3"/>
      <c r="FJ28" s="3"/>
      <c r="FK28" s="3"/>
      <c r="FL28" s="265">
        <f>Q42</f>
      </c>
      <c r="FM28" s="22" t="str">
        <f>IF(FL28="",IF(FM27="-",IF(FL23=0,FM23,IF(FL24=0,FM24,IF(FL25=0,FM25,IF(FL26=0,FM26,"-")))),FM27),FL28)</f>
        <v>-</v>
      </c>
      <c r="FN28" s="3"/>
      <c r="FO28" s="3"/>
      <c r="FP28" s="3"/>
      <c r="FQ28" s="265">
        <f>Q43</f>
      </c>
      <c r="FR28" s="22" t="str">
        <f>IF(FQ28="",IF(FR27="-",IF(FQ23=0,FR23,IF(FQ24=0,FR24,IF(FQ25=0,FR25,IF(FQ26=0,FR26,"-")))),FR27),FQ28)</f>
        <v>-</v>
      </c>
      <c r="FS28" s="3"/>
      <c r="FT28" s="3"/>
      <c r="FU28" s="3"/>
      <c r="FV28" s="265">
        <f>Q44</f>
      </c>
      <c r="FW28" s="22" t="str">
        <f>IF(FV28="",IF(FW27="-",IF(FV23=0,FW23,IF(FV24=0,FW24,IF(FV25=0,FW25,IF(FV26=0,FW26,"-")))),FW27),FV28)</f>
        <v>-</v>
      </c>
      <c r="FX28" s="3"/>
      <c r="FY28" s="3"/>
      <c r="FZ28" s="3"/>
      <c r="GA28" s="265">
        <f>Q45</f>
      </c>
      <c r="GB28" s="22" t="str">
        <f>IF(GA28="",IF(GB27="-",IF(GA23=0,GB23,IF(GA24=0,GB24,IF(GA25=0,GB25,IF(GA26=0,GB26,"-")))),GB27),GA28)</f>
        <v>-</v>
      </c>
      <c r="GC28" s="3"/>
      <c r="GD28" s="3"/>
      <c r="GE28" s="3"/>
      <c r="GF28" s="265">
        <f>Q46</f>
      </c>
      <c r="GG28" s="22" t="str">
        <f>IF(GF28="",IF(GG27="-",IF(GF23=0,GG23,IF(GF24=0,GG24,IF(GF25=0,GG25,IF(GF26=0,GG26,"-")))),GG27),GF28)</f>
        <v>-</v>
      </c>
      <c r="GH28" s="3"/>
      <c r="GI28" s="3"/>
      <c r="GJ28" s="3"/>
      <c r="GK28" s="265">
        <f>U36</f>
      </c>
      <c r="GL28" s="22" t="str">
        <f>IF(GK28="",IF(GL27="-",IF(GK23=0,GL23,IF(GK24=0,GL24,IF(GK25=0,GL25,IF(GK26=0,GL26,"-")))),GL27),GK28)</f>
        <v>-</v>
      </c>
      <c r="GM28" s="3"/>
      <c r="GN28" s="3"/>
      <c r="GO28" s="3"/>
      <c r="GP28" s="265">
        <f>U37</f>
      </c>
      <c r="GQ28" s="22" t="str">
        <f>IF(GP28="",IF(GQ27="-",IF(GP23=0,GQ23,IF(GP24=0,GQ24,IF(GP25=0,GQ25,IF(GP26=0,GQ26,"-")))),GQ27),GP28)</f>
        <v>-</v>
      </c>
      <c r="GR28" s="3"/>
      <c r="GS28" s="3"/>
      <c r="GT28" s="3"/>
      <c r="GU28" s="265">
        <f>U38</f>
      </c>
      <c r="GV28" s="22" t="str">
        <f>IF(GU28="",IF(GV27="-",IF(GU23=0,GV23,IF(GU24=0,GV24,IF(GU25=0,GV25,IF(GU26=0,GV26,"-")))),GV27),GU28)</f>
        <v>-</v>
      </c>
      <c r="GW28" s="3"/>
      <c r="GX28" s="3"/>
      <c r="GY28" s="3"/>
      <c r="GZ28" s="265">
        <f>U39</f>
      </c>
      <c r="HA28" s="22" t="str">
        <f>IF(GZ28="",IF(HA27="-",IF(GZ23=0,HA23,IF(GZ24=0,HA24,IF(GZ25=0,HA25,IF(GZ26=0,HA26,"-")))),HA27),GZ28)</f>
        <v>-</v>
      </c>
      <c r="HB28" s="3"/>
      <c r="HC28" s="3"/>
      <c r="HD28" s="3"/>
      <c r="HE28" s="265">
        <f>U40</f>
      </c>
      <c r="HF28" s="22" t="str">
        <f>IF(HE28="",IF(HF27="-",IF(HE23=0,HF23,IF(HE24=0,HF24,IF(HE25=0,HF25,IF(HE26=0,HF26,"-")))),HF27),HE28)</f>
        <v>-</v>
      </c>
      <c r="HG28" s="3"/>
      <c r="HH28" s="3"/>
      <c r="HJ28" s="265">
        <f>U41</f>
      </c>
      <c r="HK28" s="22" t="str">
        <f>IF(HJ28="",IF(HK27="-",IF(HJ23=0,HK23,IF(HJ24=0,HK24,IF(HJ25=0,HK25,IF(HJ26=0,HK26,"-")))),HK27),HJ28)</f>
        <v>-</v>
      </c>
      <c r="HO28" s="265">
        <f>U42</f>
      </c>
      <c r="HP28" s="22" t="str">
        <f>IF(HO28="",IF(HP27="-",IF(HO23=0,HP23,IF(HO24=0,HP24,IF(HO25=0,HP25,IF(HO26=0,HP26,"-")))),HP27),HO28)</f>
        <v>-</v>
      </c>
      <c r="HT28" s="265">
        <f>U43</f>
      </c>
      <c r="HU28" s="22" t="str">
        <f>IF(HT28="",IF(HU27="-",IF(HT23=0,HU23,IF(HT24=0,HU24,IF(HT25=0,HU25,IF(HT26=0,HU26,"-")))),HU27),HT28)</f>
        <v>-</v>
      </c>
      <c r="HY28" s="265">
        <f>U44</f>
      </c>
      <c r="HZ28" s="22" t="str">
        <f>IF(HY28="",IF(HZ27="-",IF(HY23=0,HZ23,IF(HY24=0,HZ24,IF(HY25=0,HZ25,IF(HY26=0,HZ26,"-")))),HZ27),HY28)</f>
        <v>-</v>
      </c>
      <c r="ID28" s="265">
        <f>U45</f>
      </c>
      <c r="IE28" s="22" t="str">
        <f>IF(ID28="",IF(IE27="-",IF(ID23=0,IE23,IF(ID24=0,IE24,IF(ID25=0,IE25,IF(ID26=0,IE26,"-")))),IE27),ID28)</f>
        <v>-</v>
      </c>
      <c r="II28" s="265">
        <f>U46</f>
      </c>
      <c r="IJ28" s="22" t="str">
        <f>IF(II28="",IF(IJ27="-",IF(II23=0,IJ23,IF(II24=0,IJ24,IF(II25=0,IJ25,IF(II26=0,IJ26,"-")))),IJ27),II28)</f>
        <v>-</v>
      </c>
      <c r="IL28" s="61"/>
    </row>
    <row r="29" spans="1:246" ht="12" customHeight="1" thickBot="1">
      <c r="A29" s="186"/>
      <c r="B29" s="231" t="s">
        <v>124</v>
      </c>
      <c r="C29" s="114"/>
      <c r="D29" s="3"/>
      <c r="E29" s="4" t="s">
        <v>125</v>
      </c>
      <c r="F29" s="276" t="str">
        <f>IF(F28="-","-",IF(F25="","-",F27*F28))</f>
        <v>-</v>
      </c>
      <c r="G29"/>
      <c r="H29" s="10" t="str">
        <f>IF(J9="ja","-",IF(J9="-","-","(Al) Hornblenden, Chlorite"))</f>
        <v>-</v>
      </c>
      <c r="I29" s="3"/>
      <c r="J29" s="6"/>
      <c r="L29" s="10" t="str">
        <f>IF(N10="ja","-",IF(N10="-","-","(Ca) Klinopyroxene, Aktinolith,"))</f>
        <v>(Ca) Klinopyroxene, Aktinolith,</v>
      </c>
      <c r="M29" s="3"/>
      <c r="N29" s="6"/>
      <c r="P29" s="10" t="str">
        <f>IF(R9="ja","-",IF(R9="-","-","(Al) Hornblenden, Chlorite, Nontronit"))</f>
        <v>-</v>
      </c>
      <c r="Q29" s="3"/>
      <c r="R29" s="6"/>
      <c r="T29" s="10" t="str">
        <f>IF(V10="ja","(Al&lt;3,5) Pigeonitaugit / (Fe)",IF(V10="-","-","(Al) Hornblenden, Chlorite, Nontronit"))</f>
        <v>-</v>
      </c>
      <c r="U29" s="3"/>
      <c r="V29" s="6"/>
      <c r="X29" s="6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L29" s="61"/>
    </row>
    <row r="30" spans="1:253" ht="12" customHeight="1">
      <c r="A30" s="292" t="str">
        <f>IF(F26="-","Keine Angaben zur Partikelgeometrie",IF(F26&gt;3,"Faser gemäß WHO-Definition","Keine WHO-Faser"))</f>
        <v>Keine Angaben zur Partikelgeometrie</v>
      </c>
      <c r="B30" s="290"/>
      <c r="C30" s="291"/>
      <c r="D30" s="2"/>
      <c r="E30" s="3"/>
      <c r="F30" s="289"/>
      <c r="G30"/>
      <c r="H30" s="10" t="str">
        <f>IF(J10="ja","-",IF(J10="-","-","(Ca) Hornblenden, einige Pyroxene"))</f>
        <v>(Ca) Hornblenden, einige Pyroxene</v>
      </c>
      <c r="I30" s="3"/>
      <c r="J30" s="6"/>
      <c r="L30" s="10" t="str">
        <f>IF(N10="ja","-",IF(N10="-","-","   Tremolit, Epi./Zoi./Preh./Pump."))</f>
        <v>   Tremolit, Epi./Zoi./Preh./Pump.</v>
      </c>
      <c r="M30" s="3"/>
      <c r="N30" s="6"/>
      <c r="P30" s="10" t="str">
        <f>IF(R9="ja","-",IF(R9="-","-",IF(C39&gt;8,"   Montmorill., Epi./Zoi./Preh./Pump.","-")))</f>
        <v>-</v>
      </c>
      <c r="Q30" s="3"/>
      <c r="R30" s="6"/>
      <c r="T30" s="10" t="str">
        <f>IF(V10="ja","-",IF(V10="-","-",IF(C39&gt;8,"   Montmorill., Epi./Zoi./Preh./Pump.","-")))</f>
        <v>-</v>
      </c>
      <c r="U30" s="3"/>
      <c r="V30" s="6"/>
      <c r="X30" s="207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11"/>
      <c r="DQ30" s="80" t="s">
        <v>126</v>
      </c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48"/>
      <c r="EW30" s="11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48"/>
      <c r="FL30" s="2" t="s">
        <v>127</v>
      </c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11"/>
      <c r="GB30" s="2"/>
      <c r="GC30" s="2"/>
      <c r="GD30" s="2"/>
      <c r="GE30" s="2"/>
      <c r="GF30" s="2"/>
      <c r="GG30" s="48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61"/>
      <c r="IM30" s="3"/>
      <c r="IN30" s="3"/>
      <c r="IO30" s="3"/>
      <c r="IP30" s="3"/>
      <c r="IQ30" s="3"/>
      <c r="IR30" s="3"/>
      <c r="IS30" s="3"/>
    </row>
    <row r="31" spans="1:253" ht="12" customHeight="1">
      <c r="A31" s="278" t="str">
        <f>IF(CW53="",IF(Q35="n",IF(M35&lt;11,AW55,AW56),IF(Q35="j",AW55,IF(U35&lt;11,AW55,AW56))),AW55)</f>
        <v>Partikel gemäß Konventionen identifiziert als:</v>
      </c>
      <c r="B31" s="274"/>
      <c r="C31" s="274"/>
      <c r="D31" s="272"/>
      <c r="E31" s="272"/>
      <c r="F31" s="273"/>
      <c r="G31"/>
      <c r="H31" s="9" t="str">
        <f>IF(J12="ja","-",IF(J12="-","-",IF(C42&gt;5.5,"(K&gt;5,5) Glimmer","-")))</f>
        <v>-</v>
      </c>
      <c r="I31" s="8"/>
      <c r="J31" s="7"/>
      <c r="L31" s="106" t="str">
        <f>IF(N12="ja","-",IF(N12="-","-",IF(C42&gt;5.5,"(K&gt;5,5) Glimmer","-")))</f>
        <v>-</v>
      </c>
      <c r="M31" s="8"/>
      <c r="N31" s="7"/>
      <c r="P31" s="10" t="str">
        <f>IF(R18="ja","-",IF(R18="-","-","(Si/Al) Verm., Mont., Glimmer, Epi."))</f>
        <v>-</v>
      </c>
      <c r="Q31" s="3"/>
      <c r="R31" s="6"/>
      <c r="T31" s="10" t="str">
        <f>IF(V18="ja","-",IF(V18="-","-","(Si/Al) Verm., Mont., Glimmer, Epi."))</f>
        <v>-</v>
      </c>
      <c r="U31" s="3"/>
      <c r="V31" s="6"/>
      <c r="X31" s="210"/>
      <c r="Y31" s="213" t="s">
        <v>128</v>
      </c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190" t="s">
        <v>129</v>
      </c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60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61"/>
      <c r="EW31" s="60"/>
      <c r="EX31" s="190" t="s">
        <v>130</v>
      </c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61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60"/>
      <c r="GB31" s="3" t="s">
        <v>131</v>
      </c>
      <c r="GC31" s="3"/>
      <c r="GD31" s="3"/>
      <c r="GE31" s="3"/>
      <c r="GF31" s="3"/>
      <c r="GG31" s="61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61"/>
      <c r="IM31" s="3"/>
      <c r="IN31" s="3"/>
      <c r="IO31" s="3"/>
      <c r="IP31" s="3"/>
      <c r="IQ31" s="3"/>
      <c r="IR31" s="3"/>
      <c r="IS31" s="3"/>
    </row>
    <row r="32" spans="1:253" ht="12" customHeight="1" thickBot="1">
      <c r="A32" s="278" t="str">
        <f>IF(C16="-",IF(CW53="",IF(X23&gt;50,CONCATENATE("(",CW56,")"),CW56),CW56),"-")</f>
        <v>  Tremolit</v>
      </c>
      <c r="B32" s="274"/>
      <c r="C32" s="272"/>
      <c r="D32" s="272"/>
      <c r="E32" s="272"/>
      <c r="F32" s="275"/>
      <c r="G32"/>
      <c r="P32" s="10" t="str">
        <f>IF(R17="ja","-",IF(R17="-","-","(Si/Ca) Diopsid, (Diop.) Augit"))</f>
        <v>-</v>
      </c>
      <c r="Q32" s="3"/>
      <c r="R32" s="6"/>
      <c r="T32" s="10" t="str">
        <f>IF(V17="ja","-",IF(V17="-","-","(Si/Ca) Diopsid, (Diop.) Augit"))</f>
        <v>-</v>
      </c>
      <c r="U32" s="3"/>
      <c r="V32" s="6"/>
      <c r="X32" s="210"/>
      <c r="Y32" s="214" t="s">
        <v>132</v>
      </c>
      <c r="Z32" s="214" t="s">
        <v>133</v>
      </c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2"/>
      <c r="AW32" s="190" t="s">
        <v>134</v>
      </c>
      <c r="AX32" s="3"/>
      <c r="AY32" s="3"/>
      <c r="AZ32" s="3"/>
      <c r="BA32" s="3"/>
      <c r="BB32" s="3"/>
      <c r="BC32" s="190" t="s">
        <v>135</v>
      </c>
      <c r="BD32" s="3"/>
      <c r="BE32" s="3"/>
      <c r="BF32" s="3"/>
      <c r="BG32" s="3"/>
      <c r="BH32" s="3"/>
      <c r="BI32" s="3"/>
      <c r="BJ32" s="3"/>
      <c r="BK32" s="3"/>
      <c r="BL32" s="3"/>
      <c r="BM32" s="190" t="s">
        <v>136</v>
      </c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190" t="s">
        <v>137</v>
      </c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12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4"/>
      <c r="DP32" s="60"/>
      <c r="DQ32" s="3"/>
      <c r="DR32" s="91" t="s">
        <v>138</v>
      </c>
      <c r="DS32" s="89"/>
      <c r="DT32" s="90"/>
      <c r="DU32" s="90"/>
      <c r="DV32" s="90"/>
      <c r="DW32" s="91" t="s">
        <v>139</v>
      </c>
      <c r="DX32" s="89"/>
      <c r="DY32" s="90"/>
      <c r="DZ32" s="90"/>
      <c r="EA32" s="90"/>
      <c r="EB32" s="91" t="s">
        <v>140</v>
      </c>
      <c r="EC32" s="89"/>
      <c r="ED32" s="90"/>
      <c r="EE32" s="90"/>
      <c r="EF32" s="90"/>
      <c r="EG32" s="91" t="s">
        <v>141</v>
      </c>
      <c r="EH32" s="89"/>
      <c r="EI32" s="90"/>
      <c r="EJ32" s="90"/>
      <c r="EK32" s="90"/>
      <c r="EL32" s="91" t="s">
        <v>142</v>
      </c>
      <c r="EM32" s="89"/>
      <c r="EN32" s="90"/>
      <c r="EO32" s="90"/>
      <c r="EP32" s="90"/>
      <c r="EQ32" s="91" t="s">
        <v>143</v>
      </c>
      <c r="ER32" s="89"/>
      <c r="ES32" s="90"/>
      <c r="ET32" s="90"/>
      <c r="EU32" s="90"/>
      <c r="EV32" s="61"/>
      <c r="EW32" s="60"/>
      <c r="EX32" s="12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4"/>
      <c r="FK32" s="61"/>
      <c r="FL32" s="3"/>
      <c r="FM32" s="225" t="s">
        <v>144</v>
      </c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4"/>
      <c r="FY32" s="3"/>
      <c r="FZ32" s="3"/>
      <c r="GA32" s="60"/>
      <c r="GB32" s="12" t="s">
        <v>145</v>
      </c>
      <c r="GC32" s="13"/>
      <c r="GD32" s="13"/>
      <c r="GE32" s="14"/>
      <c r="GF32" s="3"/>
      <c r="GG32" s="61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61"/>
      <c r="IM32" s="3"/>
      <c r="IN32" s="3"/>
      <c r="IO32" s="3"/>
      <c r="IP32" s="3"/>
      <c r="IQ32" s="3"/>
      <c r="IR32" s="3"/>
      <c r="IS32" s="3"/>
    </row>
    <row r="33" spans="1:253" ht="12" customHeight="1" thickBot="1">
      <c r="A33" s="279">
        <f>IF(A31="Partikelart:","Einhaltung der Konventionen nicht sichergestellt","")</f>
      </c>
      <c r="B33" s="274"/>
      <c r="C33" s="272"/>
      <c r="D33" s="274"/>
      <c r="E33" s="272"/>
      <c r="F33" s="275"/>
      <c r="G33"/>
      <c r="H33" s="161" t="s">
        <v>146</v>
      </c>
      <c r="I33" s="2"/>
      <c r="J33" s="2"/>
      <c r="K33" s="2"/>
      <c r="L33" s="2"/>
      <c r="M33" s="48"/>
      <c r="N33" s="3"/>
      <c r="P33" s="9" t="str">
        <f>IF(R12="ja","-",IF(R12="-","-",IF(C42&gt;5.5,"(K&gt;5,5) Glimmer","-")))</f>
        <v>-</v>
      </c>
      <c r="Q33" s="8"/>
      <c r="R33" s="7"/>
      <c r="T33" s="9" t="str">
        <f>IF(V12="ja","-",IF(V12="-","-",IF(C42&gt;5.5,"(K&gt;5,5) Glimmer","-")))</f>
        <v>-</v>
      </c>
      <c r="U33" s="8"/>
      <c r="V33" s="7"/>
      <c r="X33" s="210"/>
      <c r="Y33" s="214"/>
      <c r="Z33" s="214" t="s">
        <v>147</v>
      </c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2"/>
      <c r="AW33" s="12"/>
      <c r="AX33" s="13"/>
      <c r="AY33" s="13"/>
      <c r="AZ33" s="13"/>
      <c r="BA33" s="13"/>
      <c r="BB33" s="14"/>
      <c r="BC33" s="12"/>
      <c r="BD33" s="13"/>
      <c r="BE33" s="13"/>
      <c r="BF33" s="13"/>
      <c r="BG33" s="13"/>
      <c r="BH33" s="13"/>
      <c r="BI33" s="13"/>
      <c r="BJ33" s="13"/>
      <c r="BK33" s="13"/>
      <c r="BL33" s="14"/>
      <c r="BM33" s="12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4"/>
      <c r="CD33" s="12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0"/>
      <c r="CT33" s="3"/>
      <c r="CU33" s="3"/>
      <c r="CV33" s="3"/>
      <c r="CW33" s="3"/>
      <c r="CX33" s="3"/>
      <c r="CY33" s="3"/>
      <c r="CZ33" s="64" t="s">
        <v>148</v>
      </c>
      <c r="DA33" s="65"/>
      <c r="DB33" s="65"/>
      <c r="DC33" s="50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6"/>
      <c r="DP33" s="60"/>
      <c r="DQ33" s="3"/>
      <c r="DR33" s="54" t="s">
        <v>54</v>
      </c>
      <c r="DS33" s="17" t="s">
        <v>55</v>
      </c>
      <c r="DT33" s="53" t="s">
        <v>56</v>
      </c>
      <c r="DU33" s="84" t="s">
        <v>57</v>
      </c>
      <c r="DV33" s="84" t="s">
        <v>58</v>
      </c>
      <c r="DW33" s="54" t="s">
        <v>54</v>
      </c>
      <c r="DX33" s="17" t="s">
        <v>55</v>
      </c>
      <c r="DY33" s="53" t="s">
        <v>56</v>
      </c>
      <c r="DZ33" s="84" t="s">
        <v>57</v>
      </c>
      <c r="EA33" s="84" t="s">
        <v>58</v>
      </c>
      <c r="EB33" s="54" t="s">
        <v>54</v>
      </c>
      <c r="EC33" s="17" t="s">
        <v>55</v>
      </c>
      <c r="ED33" s="53" t="s">
        <v>56</v>
      </c>
      <c r="EE33" s="84" t="s">
        <v>57</v>
      </c>
      <c r="EF33" s="84" t="s">
        <v>58</v>
      </c>
      <c r="EG33" s="54" t="s">
        <v>54</v>
      </c>
      <c r="EH33" s="17" t="s">
        <v>55</v>
      </c>
      <c r="EI33" s="53" t="s">
        <v>56</v>
      </c>
      <c r="EJ33" s="84" t="s">
        <v>57</v>
      </c>
      <c r="EK33" s="84" t="s">
        <v>58</v>
      </c>
      <c r="EL33" s="54" t="s">
        <v>54</v>
      </c>
      <c r="EM33" s="17" t="s">
        <v>55</v>
      </c>
      <c r="EN33" s="53" t="s">
        <v>56</v>
      </c>
      <c r="EO33" s="84" t="s">
        <v>57</v>
      </c>
      <c r="EP33" s="84" t="s">
        <v>58</v>
      </c>
      <c r="EQ33" s="54" t="s">
        <v>54</v>
      </c>
      <c r="ER33" s="17" t="s">
        <v>55</v>
      </c>
      <c r="ES33" s="53" t="s">
        <v>56</v>
      </c>
      <c r="ET33" s="84" t="s">
        <v>57</v>
      </c>
      <c r="EU33" s="84" t="s">
        <v>58</v>
      </c>
      <c r="EV33" s="61"/>
      <c r="EW33" s="60"/>
      <c r="EX33" s="10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6"/>
      <c r="FK33" s="61"/>
      <c r="FL33" s="3"/>
      <c r="FM33" s="226" t="s">
        <v>149</v>
      </c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7"/>
      <c r="FY33" s="3"/>
      <c r="FZ33" s="3"/>
      <c r="GA33" s="60"/>
      <c r="GB33" s="9">
        <f>IF(M35&gt;89,99,M35+10)</f>
        <v>10</v>
      </c>
      <c r="GC33" s="8"/>
      <c r="GD33" s="8"/>
      <c r="GE33" s="7"/>
      <c r="GF33" s="3"/>
      <c r="GG33" s="61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61"/>
      <c r="IM33" s="3"/>
      <c r="IN33" s="3"/>
      <c r="IO33" s="3"/>
      <c r="IP33" s="3"/>
      <c r="IQ33" s="3"/>
      <c r="IR33" s="3"/>
      <c r="IS33" s="3"/>
    </row>
    <row r="34" spans="1:253" ht="12" customHeight="1" thickBot="1" thickTop="1">
      <c r="A34" s="161" t="s">
        <v>150</v>
      </c>
      <c r="B34" s="59"/>
      <c r="C34" s="2"/>
      <c r="D34" s="107"/>
      <c r="E34" s="130" t="s">
        <v>151</v>
      </c>
      <c r="F34" s="48"/>
      <c r="G34"/>
      <c r="H34" s="160" t="s">
        <v>152</v>
      </c>
      <c r="I34" s="3"/>
      <c r="J34" s="158"/>
      <c r="K34" s="3"/>
      <c r="L34" s="3"/>
      <c r="M34" s="61"/>
      <c r="N34" s="3"/>
      <c r="P34" s="3"/>
      <c r="Q34" s="3"/>
      <c r="R34" s="3"/>
      <c r="T34" s="3"/>
      <c r="U34" s="3"/>
      <c r="V34" s="3"/>
      <c r="X34" s="210"/>
      <c r="Y34" s="214"/>
      <c r="Z34" s="214" t="s">
        <v>153</v>
      </c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2"/>
      <c r="AW34" s="10"/>
      <c r="AX34" s="96"/>
      <c r="AY34" s="2"/>
      <c r="AZ34" s="2"/>
      <c r="BA34" s="48"/>
      <c r="BB34" s="6"/>
      <c r="BC34" s="10" t="s">
        <v>154</v>
      </c>
      <c r="BD34" s="3"/>
      <c r="BE34" s="8" t="s">
        <v>155</v>
      </c>
      <c r="BF34" s="8"/>
      <c r="BG34" s="15" t="s">
        <v>59</v>
      </c>
      <c r="BH34" s="8"/>
      <c r="BI34" s="8" t="s">
        <v>156</v>
      </c>
      <c r="BJ34" s="15" t="s">
        <v>157</v>
      </c>
      <c r="BK34" s="3"/>
      <c r="BL34" s="6"/>
      <c r="BM34" s="10"/>
      <c r="BN34" s="3" t="s">
        <v>158</v>
      </c>
      <c r="BO34" s="3"/>
      <c r="BP34" s="8" t="s">
        <v>59</v>
      </c>
      <c r="BQ34" s="8"/>
      <c r="BR34" s="31" t="s">
        <v>138</v>
      </c>
      <c r="BS34" s="15"/>
      <c r="BT34" s="22" t="s">
        <v>139</v>
      </c>
      <c r="BU34" s="8"/>
      <c r="BV34" s="32" t="s">
        <v>159</v>
      </c>
      <c r="BW34" s="22"/>
      <c r="BX34" s="32" t="s">
        <v>141</v>
      </c>
      <c r="BY34" s="29"/>
      <c r="BZ34" s="29"/>
      <c r="CA34" s="29"/>
      <c r="CB34" s="29"/>
      <c r="CC34" s="6"/>
      <c r="CD34" s="10"/>
      <c r="CE34" s="3" t="s">
        <v>160</v>
      </c>
      <c r="CF34" s="3"/>
      <c r="CG34" s="31" t="s">
        <v>138</v>
      </c>
      <c r="CH34" s="15"/>
      <c r="CI34" s="22" t="s">
        <v>139</v>
      </c>
      <c r="CJ34" s="8"/>
      <c r="CK34" s="32" t="s">
        <v>159</v>
      </c>
      <c r="CL34" s="22"/>
      <c r="CM34" s="32" t="s">
        <v>141</v>
      </c>
      <c r="CN34" s="3"/>
      <c r="CO34" s="3"/>
      <c r="CP34" s="3"/>
      <c r="CQ34" s="3"/>
      <c r="CR34" s="6"/>
      <c r="CS34" s="10"/>
      <c r="CT34" s="3" t="s">
        <v>161</v>
      </c>
      <c r="CU34" s="3"/>
      <c r="CV34" s="3"/>
      <c r="CW34" s="28" t="s">
        <v>162</v>
      </c>
      <c r="CX34" s="50"/>
      <c r="CY34" s="3"/>
      <c r="CZ34" s="63" t="str">
        <f aca="true" t="shared" si="101" ref="CZ34:CZ44">CONCATENATE("  ",H36)</f>
        <v>  Olivin</v>
      </c>
      <c r="DA34" s="20"/>
      <c r="DB34" s="72">
        <v>3.4</v>
      </c>
      <c r="DC34" s="66"/>
      <c r="DD34" s="63" t="str">
        <f aca="true" t="shared" si="102" ref="DD34:DD46">CONCATENATE("  ",L36)</f>
        <v>  Pigeonit (Fe)</v>
      </c>
      <c r="DE34" s="67"/>
      <c r="DF34" s="68">
        <v>3.5</v>
      </c>
      <c r="DG34" s="66"/>
      <c r="DH34" s="63" t="str">
        <f aca="true" t="shared" si="103" ref="DH34:DH46">CONCATENATE("  ",P36)</f>
        <v>  Pennin</v>
      </c>
      <c r="DI34" s="67"/>
      <c r="DJ34" s="68">
        <v>2.7</v>
      </c>
      <c r="DK34" s="66"/>
      <c r="DL34" s="63" t="str">
        <f aca="true" t="shared" si="104" ref="DL34:DL46">CONCATENATE("  ",T36)</f>
        <v>  Biotit</v>
      </c>
      <c r="DM34" s="67"/>
      <c r="DN34" s="69">
        <v>2.9</v>
      </c>
      <c r="DO34" s="6"/>
      <c r="DP34" s="60"/>
      <c r="DQ34" s="3"/>
      <c r="DR34" s="55"/>
      <c r="DS34" s="6"/>
      <c r="DT34" s="16"/>
      <c r="DU34" s="3"/>
      <c r="DV34" s="3"/>
      <c r="DW34" s="55"/>
      <c r="DX34" s="6"/>
      <c r="DY34" s="16"/>
      <c r="DZ34" s="3"/>
      <c r="EA34" s="3"/>
      <c r="EB34" s="55"/>
      <c r="EC34" s="6"/>
      <c r="ED34" s="16"/>
      <c r="EE34" s="3"/>
      <c r="EF34" s="3"/>
      <c r="EG34" s="55"/>
      <c r="EH34" s="6"/>
      <c r="EI34" s="16"/>
      <c r="EJ34" s="3"/>
      <c r="EK34" s="3"/>
      <c r="EL34" s="55"/>
      <c r="EM34" s="6"/>
      <c r="EN34" s="16"/>
      <c r="EO34" s="3"/>
      <c r="EP34" s="3"/>
      <c r="EQ34" s="55"/>
      <c r="ER34" s="6"/>
      <c r="ES34" s="16"/>
      <c r="ET34" s="3"/>
      <c r="EU34" s="24"/>
      <c r="EV34" s="61"/>
      <c r="EW34" s="60"/>
      <c r="EX34" s="10"/>
      <c r="EY34" s="82" t="s">
        <v>146</v>
      </c>
      <c r="EZ34" s="2"/>
      <c r="FA34" s="2"/>
      <c r="FB34" s="48"/>
      <c r="FC34" s="3"/>
      <c r="FD34" s="236" t="s">
        <v>163</v>
      </c>
      <c r="FE34" s="26"/>
      <c r="FF34" s="237">
        <f>IF($Q$35="n",0,IF($Q$35="j",FI54,IF($Q$35="m",EZ55,IF($Q$35="a",FI63,0))))</f>
        <v>0</v>
      </c>
      <c r="FG34" s="102"/>
      <c r="FH34" s="102"/>
      <c r="FI34" s="102"/>
      <c r="FJ34" s="266"/>
      <c r="FK34" s="28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60"/>
      <c r="GB34" s="3"/>
      <c r="GC34" s="3"/>
      <c r="GD34" s="3"/>
      <c r="GE34" s="3"/>
      <c r="GF34" s="3"/>
      <c r="GG34" s="61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61"/>
      <c r="IM34" s="3"/>
      <c r="IN34" s="3"/>
      <c r="IO34" s="3"/>
      <c r="IP34" s="3"/>
      <c r="IQ34" s="3"/>
      <c r="IR34" s="3"/>
      <c r="IS34" s="3"/>
    </row>
    <row r="35" spans="1:253" ht="12" customHeight="1" thickBot="1">
      <c r="A35" s="60"/>
      <c r="B35" s="190"/>
      <c r="C35" s="3"/>
      <c r="D35" s="6"/>
      <c r="E35" s="51" t="s">
        <v>164</v>
      </c>
      <c r="F35" s="61"/>
      <c r="G35"/>
      <c r="H35" s="277" t="s">
        <v>165</v>
      </c>
      <c r="I35" s="13"/>
      <c r="J35" s="13"/>
      <c r="K35" s="13"/>
      <c r="L35" s="13"/>
      <c r="M35" s="228">
        <v>0</v>
      </c>
      <c r="N35" s="2" t="s">
        <v>166</v>
      </c>
      <c r="O35" s="110"/>
      <c r="P35" s="2"/>
      <c r="Q35" s="162" t="s">
        <v>213</v>
      </c>
      <c r="R35" s="2" t="s">
        <v>168</v>
      </c>
      <c r="S35" s="2"/>
      <c r="T35" s="2"/>
      <c r="U35" s="48">
        <f>IF(Q35="j",IF(FI54=0,0,FI54-1),IF(Q35="m",IF(EZ55=0,0,EZ55-1),IF(Q35="a",IF(FI63=0,0,FI63),"-")))</f>
        <v>0</v>
      </c>
      <c r="V35" s="3"/>
      <c r="X35" s="210"/>
      <c r="Y35" s="214"/>
      <c r="Z35" s="214" t="s">
        <v>169</v>
      </c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2"/>
      <c r="AW35" s="10"/>
      <c r="AX35" s="60" t="s">
        <v>170</v>
      </c>
      <c r="AY35" s="3"/>
      <c r="AZ35" s="3"/>
      <c r="BA35" s="61"/>
      <c r="BB35" s="6"/>
      <c r="BC35" s="10"/>
      <c r="BD35" s="3"/>
      <c r="BE35" s="3" t="s">
        <v>171</v>
      </c>
      <c r="BF35" s="3"/>
      <c r="BG35" s="16" t="s">
        <v>172</v>
      </c>
      <c r="BH35" s="3"/>
      <c r="BI35" s="238">
        <f>C18*BJ36+C19*BJ37+C20*BJ38+C21*BJ39+C22*BJ40+C23*BJ41+C24*BJ42+C25*BJ43+C26*BJ44+C27*BJ45</f>
        <v>45.0817147924472</v>
      </c>
      <c r="BJ35" s="16"/>
      <c r="BK35" s="3"/>
      <c r="BL35" s="6"/>
      <c r="BM35" s="10"/>
      <c r="BN35" s="3" t="s">
        <v>173</v>
      </c>
      <c r="BO35" s="3"/>
      <c r="BP35" s="3" t="s">
        <v>174</v>
      </c>
      <c r="BQ35" s="40" t="s">
        <v>175</v>
      </c>
      <c r="BR35" s="136"/>
      <c r="BS35" s="41" t="s">
        <v>175</v>
      </c>
      <c r="BT35" s="138"/>
      <c r="BU35" s="139" t="s">
        <v>175</v>
      </c>
      <c r="BV35" s="136"/>
      <c r="BW35" s="140" t="s">
        <v>175</v>
      </c>
      <c r="BX35" s="136"/>
      <c r="BY35" s="189"/>
      <c r="BZ35" s="189"/>
      <c r="CA35" s="189"/>
      <c r="CB35" s="189"/>
      <c r="CC35" s="6"/>
      <c r="CD35" s="10"/>
      <c r="CE35" s="3"/>
      <c r="CF35" s="3"/>
      <c r="CG35" s="24">
        <f aca="true" t="shared" si="105" ref="CG35:CG47">IF(J6="ja",0,IF(J6="-",0,1))</f>
        <v>1</v>
      </c>
      <c r="CH35" s="3"/>
      <c r="CI35" s="24">
        <f aca="true" t="shared" si="106" ref="CI35:CI46">IF(N6="ja",0,IF(N6="-",0,1))</f>
        <v>0</v>
      </c>
      <c r="CJ35" s="3"/>
      <c r="CK35" s="24">
        <f aca="true" t="shared" si="107" ref="CK35:CK47">IF(R6="ja",0,IF(R6="-",0,1))</f>
        <v>0</v>
      </c>
      <c r="CL35" s="3"/>
      <c r="CM35" s="24">
        <f aca="true" t="shared" si="108" ref="CM35:CM47">IF(V6="ja",0,IF(V6="-",0,1))</f>
        <v>0</v>
      </c>
      <c r="CN35" s="3"/>
      <c r="CO35" s="3"/>
      <c r="CP35" s="3"/>
      <c r="CQ35" s="3"/>
      <c r="CR35" s="6"/>
      <c r="CS35" s="10"/>
      <c r="CT35" s="3" t="s">
        <v>176</v>
      </c>
      <c r="CU35" s="3"/>
      <c r="CV35" s="3"/>
      <c r="CW35" s="10"/>
      <c r="CX35" s="6"/>
      <c r="CY35" s="3"/>
      <c r="CZ35" s="70" t="str">
        <f t="shared" si="101"/>
        <v>  Olivin (Fe)</v>
      </c>
      <c r="DA35" s="20"/>
      <c r="DB35" s="72">
        <v>3.7</v>
      </c>
      <c r="DC35" s="71"/>
      <c r="DD35" s="70" t="str">
        <f t="shared" si="102"/>
        <v>  Enstatit</v>
      </c>
      <c r="DE35" s="20"/>
      <c r="DF35" s="72">
        <v>3.3</v>
      </c>
      <c r="DG35" s="71"/>
      <c r="DH35" s="70" t="str">
        <f t="shared" si="103"/>
        <v>  Klinochlor</v>
      </c>
      <c r="DI35" s="20"/>
      <c r="DJ35" s="72">
        <v>2.7</v>
      </c>
      <c r="DK35" s="71"/>
      <c r="DL35" s="70" t="str">
        <f t="shared" si="104"/>
        <v>  Biotit (Fe)</v>
      </c>
      <c r="DM35" s="20"/>
      <c r="DN35" s="73">
        <v>3.2</v>
      </c>
      <c r="DO35" s="6"/>
      <c r="DP35" s="60"/>
      <c r="DQ35" s="24" t="str">
        <f aca="true" t="shared" si="109" ref="DQ35:DQ44">B37</f>
        <v>Na</v>
      </c>
      <c r="DR35" s="56">
        <v>-1E-05</v>
      </c>
      <c r="DS35" s="33">
        <v>1.5</v>
      </c>
      <c r="DT35" s="52">
        <f>IF($C$37&gt;DR35,IF($C$37&lt;DS35,0,1),1)</f>
        <v>0</v>
      </c>
      <c r="DU35" s="52">
        <f>IF($C$37&gt;(DR35-DR35/100*$M$35),IF($C$37&lt;(DS35+DS35/100*$M$35),0,1),1)</f>
        <v>0</v>
      </c>
      <c r="DV35" s="29">
        <f>IF($C$37&gt;(DR35-DR35/100*$FF$34),IF($C$37&lt;(DS35+DS35/100*$FF$34),0,1),1)</f>
        <v>0</v>
      </c>
      <c r="DW35" s="56">
        <v>-1E-05</v>
      </c>
      <c r="DX35" s="33">
        <v>1.5</v>
      </c>
      <c r="DY35" s="52">
        <f>IF($C$37&gt;DW35,IF($C$37&lt;DX35,0,1),1)</f>
        <v>0</v>
      </c>
      <c r="DZ35" s="52">
        <f>IF($C$37&gt;(DW35-DW35/100*$M$35),IF($C$37&lt;(DX35+DX35/100*$M$35),0,1),1)</f>
        <v>0</v>
      </c>
      <c r="EA35" s="29">
        <f>IF($C$37&gt;(DW35-DW35/100*$FF$34),IF($C$37&lt;(DX35+DX35/100*$FF$34),0,1),1)</f>
        <v>0</v>
      </c>
      <c r="EB35" s="56">
        <v>-1E-05</v>
      </c>
      <c r="EC35" s="33">
        <v>2</v>
      </c>
      <c r="ED35" s="52">
        <f>IF($C$37&gt;EB35,IF($C$37&lt;EC35,0,1),1)</f>
        <v>0</v>
      </c>
      <c r="EE35" s="52">
        <f>IF($C$37&gt;(EB35-EB35/100*$M$35),IF($C$37&lt;(EC35+EC35/100*$M$35),0,1),1)</f>
        <v>0</v>
      </c>
      <c r="EF35" s="29">
        <f>IF($C$37&gt;(EB35-EB35/100*$FF$34),IF($C$37&lt;(EC35+EC35/100*$FF$34),0,1),1)</f>
        <v>0</v>
      </c>
      <c r="EG35" s="56">
        <v>-1E-05</v>
      </c>
      <c r="EH35" s="33">
        <v>2</v>
      </c>
      <c r="EI35" s="52">
        <f>IF($C$37&gt;EG35,IF($C$37&lt;EH35,0,1),1)</f>
        <v>0</v>
      </c>
      <c r="EJ35" s="52">
        <f>IF($C$37&gt;(EG35-EG35/100*$M$35),IF($C$37&lt;(EH35+EH35/100*$M$35),0,1),1)</f>
        <v>0</v>
      </c>
      <c r="EK35" s="29">
        <f>IF($C$37&gt;(EG35-EG35/100*$FF$34),IF($C$37&lt;(EH35+EH35/100*$FF$34),0,1),1)</f>
        <v>0</v>
      </c>
      <c r="EL35" s="56">
        <v>-1E-05</v>
      </c>
      <c r="EM35" s="33">
        <v>1.5</v>
      </c>
      <c r="EN35" s="52">
        <f>IF($C$37&gt;EL35,IF($C$37&lt;EM35,0,1),1)</f>
        <v>0</v>
      </c>
      <c r="EO35" s="52">
        <f>IF($C$37&gt;(EL35-EL35/100*$M$35),IF($C$37&lt;(EM35+EM35/100*$M$35),0,1),1)</f>
        <v>0</v>
      </c>
      <c r="EP35" s="29">
        <f>IF($C$37&gt;(EL35-EL35/100*$FF$34),IF($C$37&lt;(EM35+EM35/100*$FF$34),0,1),1)</f>
        <v>0</v>
      </c>
      <c r="EQ35" s="56">
        <v>2.5</v>
      </c>
      <c r="ER35" s="33">
        <v>8</v>
      </c>
      <c r="ES35" s="52">
        <f>IF($C$37&gt;EQ35,IF($C$37&lt;ER35,0,1),1)</f>
        <v>1</v>
      </c>
      <c r="ET35" s="52">
        <f>IF($C$37&gt;(EQ35-EQ35/100*$M$35),IF($C$37&lt;(ER35+ER35/100*$M$35),0,1),1)</f>
        <v>1</v>
      </c>
      <c r="EU35" s="29">
        <f>IF($C$37&gt;(EQ35-EQ35/100*$FF$34),IF($C$37&lt;(ER35+ER35/100*$FF$34),0,1),1)</f>
        <v>1</v>
      </c>
      <c r="EV35" s="61"/>
      <c r="EW35" s="60"/>
      <c r="EX35" s="10"/>
      <c r="EY35" s="60" t="s">
        <v>177</v>
      </c>
      <c r="EZ35" s="3"/>
      <c r="FA35" s="3"/>
      <c r="FB35" s="61"/>
      <c r="FC35" s="3"/>
      <c r="FD35" s="3"/>
      <c r="FE35" s="3"/>
      <c r="FF35" s="3"/>
      <c r="FG35" s="3"/>
      <c r="FH35" s="3"/>
      <c r="FI35" s="3"/>
      <c r="FJ35" s="6"/>
      <c r="FK35" s="61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60"/>
      <c r="GB35" s="3" t="s">
        <v>178</v>
      </c>
      <c r="GC35" s="3"/>
      <c r="GD35" s="3"/>
      <c r="GE35" s="3"/>
      <c r="GF35" s="3"/>
      <c r="GG35" s="61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61"/>
      <c r="IM35" s="3"/>
      <c r="IN35" s="3"/>
      <c r="IO35" s="3"/>
      <c r="IP35" s="3"/>
      <c r="IQ35" s="3"/>
      <c r="IR35" s="3"/>
      <c r="IS35" s="3"/>
    </row>
    <row r="36" spans="1:253" ht="12" customHeight="1" thickBot="1">
      <c r="A36" s="60"/>
      <c r="B36" s="7" t="s">
        <v>59</v>
      </c>
      <c r="C36" s="44" t="s">
        <v>179</v>
      </c>
      <c r="D36" s="6"/>
      <c r="E36" s="10" t="s">
        <v>180</v>
      </c>
      <c r="F36" s="187">
        <f>IF(C38=0,"-",IF(C40/C38&gt;100,"&gt; 100",IF(C40/C38&lt;0.01,"&lt; 0,01",C40/C38)))</f>
        <v>1.7835975215260655</v>
      </c>
      <c r="G36"/>
      <c r="H36" s="159" t="str">
        <f>Z2</f>
        <v>Olivin</v>
      </c>
      <c r="I36" s="259">
        <f>IF($Q$35="n","",IF(AC28="-","",AC28))</f>
      </c>
      <c r="J36" s="2">
        <f>IF(AB16=0,IF($X$23&lt;10,"x (&lt;10)","x"),AB16)</f>
        <v>4</v>
      </c>
      <c r="K36" s="107"/>
      <c r="L36" s="2" t="str">
        <f>CC2</f>
        <v>Pigeonit (Fe)</v>
      </c>
      <c r="M36" s="259">
        <f>IF($Q$35="n","",IF(CF28="-","",CF28))</f>
      </c>
      <c r="N36" s="2">
        <f>IF(CE16=0,IF($X$23&lt;10,"x (&lt;10)","x"),CE16)</f>
        <v>5</v>
      </c>
      <c r="O36" s="107"/>
      <c r="P36" s="2" t="str">
        <f>EF2</f>
        <v>Pennin</v>
      </c>
      <c r="Q36" s="259">
        <f>IF($Q$35="n","",IF(EI28="-","",EI28))</f>
      </c>
      <c r="R36" s="2">
        <f>IF(EH16=0,IF($X$23&lt;10,"x (&lt;10)","x"),EH16)</f>
        <v>3</v>
      </c>
      <c r="S36" s="107"/>
      <c r="T36" s="2" t="str">
        <f>GI2</f>
        <v>Biotit</v>
      </c>
      <c r="U36" s="262">
        <f>IF($Q$35="n","",IF(GL28="-","",GL28))</f>
      </c>
      <c r="V36" s="117">
        <f>IF(GK16=0,IF($X$23&lt;10,"x (&lt;10)","x"),GK16)</f>
        <v>5</v>
      </c>
      <c r="X36" s="210"/>
      <c r="Y36" s="214" t="s">
        <v>181</v>
      </c>
      <c r="Z36" s="214" t="s">
        <v>182</v>
      </c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2"/>
      <c r="AW36" s="10"/>
      <c r="AX36" s="97">
        <f>IF(SUM(C6:C15)=0,0,1)</f>
        <v>0</v>
      </c>
      <c r="AY36" s="19">
        <f>IF(SUM(D6:D15)=0,0,1)</f>
        <v>0</v>
      </c>
      <c r="AZ36" s="19">
        <f>IF(SUM(E6:E15)=0,0,1)</f>
        <v>0</v>
      </c>
      <c r="BA36" s="61">
        <f>IF(AX36=1,1,IF(AY36=1,2,IF(AZ36=1,3,IF(AX37=1,4,"keine Eingabe"))))</f>
        <v>4</v>
      </c>
      <c r="BB36" s="6"/>
      <c r="BC36" s="10"/>
      <c r="BD36" s="3"/>
      <c r="BE36" s="3" t="s">
        <v>183</v>
      </c>
      <c r="BF36" s="3"/>
      <c r="BG36" s="16" t="s">
        <v>65</v>
      </c>
      <c r="BH36" s="3"/>
      <c r="BI36" s="81">
        <f>22.99*2/(22.99*2+15.999)</f>
        <v>0.7418641798028364</v>
      </c>
      <c r="BJ36" s="36">
        <f>15.999/(22.99*2+15.999)</f>
        <v>0.2581358201971636</v>
      </c>
      <c r="BK36" s="3"/>
      <c r="BL36" s="6"/>
      <c r="BM36" s="10"/>
      <c r="BN36" s="3"/>
      <c r="BO36" s="3"/>
      <c r="BP36" s="3" t="s">
        <v>65</v>
      </c>
      <c r="BQ36" s="38" t="s">
        <v>184</v>
      </c>
      <c r="BR36" s="137">
        <f>DS35</f>
        <v>1.5</v>
      </c>
      <c r="BS36" s="39" t="s">
        <v>184</v>
      </c>
      <c r="BT36" s="141">
        <f>DX35</f>
        <v>1.5</v>
      </c>
      <c r="BU36" s="142" t="s">
        <v>184</v>
      </c>
      <c r="BV36" s="137">
        <f>EC35</f>
        <v>2</v>
      </c>
      <c r="BW36" s="143" t="s">
        <v>184</v>
      </c>
      <c r="BX36" s="137">
        <f>EH35</f>
        <v>2</v>
      </c>
      <c r="BY36" s="85"/>
      <c r="BZ36" s="85"/>
      <c r="CA36" s="85"/>
      <c r="CB36" s="85"/>
      <c r="CC36" s="6"/>
      <c r="CD36" s="10"/>
      <c r="CE36" s="3"/>
      <c r="CF36" s="3"/>
      <c r="CG36" s="16">
        <f t="shared" si="105"/>
        <v>1</v>
      </c>
      <c r="CH36" s="3"/>
      <c r="CI36" s="16">
        <f t="shared" si="106"/>
        <v>0</v>
      </c>
      <c r="CJ36" s="3"/>
      <c r="CK36" s="16">
        <f t="shared" si="107"/>
        <v>0</v>
      </c>
      <c r="CL36" s="3"/>
      <c r="CM36" s="16">
        <f t="shared" si="108"/>
        <v>1</v>
      </c>
      <c r="CN36" s="3"/>
      <c r="CO36" s="3"/>
      <c r="CP36" s="3"/>
      <c r="CQ36" s="3"/>
      <c r="CR36" s="6"/>
      <c r="CS36" s="10"/>
      <c r="CT36" s="3" t="s">
        <v>185</v>
      </c>
      <c r="CU36" s="3"/>
      <c r="CV36" s="3"/>
      <c r="CW36" s="10" t="s">
        <v>138</v>
      </c>
      <c r="CX36" s="233">
        <f>DF45</f>
        <v>2.5</v>
      </c>
      <c r="CY36" s="3"/>
      <c r="CZ36" s="70" t="str">
        <f t="shared" si="101"/>
        <v>  Diopsid</v>
      </c>
      <c r="DA36" s="20"/>
      <c r="DB36" s="79">
        <v>3.3</v>
      </c>
      <c r="DC36" s="71"/>
      <c r="DD36" s="70" t="str">
        <f t="shared" si="102"/>
        <v>  Bronzit</v>
      </c>
      <c r="DE36" s="20"/>
      <c r="DF36" s="72">
        <v>3.4</v>
      </c>
      <c r="DG36" s="71"/>
      <c r="DH36" s="70" t="str">
        <f t="shared" si="103"/>
        <v>  Grochauit</v>
      </c>
      <c r="DI36" s="20"/>
      <c r="DJ36" s="72">
        <v>2.7</v>
      </c>
      <c r="DK36" s="71"/>
      <c r="DL36" s="70" t="str">
        <f t="shared" si="104"/>
        <v>  Vermiculit</v>
      </c>
      <c r="DM36" s="20"/>
      <c r="DN36" s="73">
        <v>2.3</v>
      </c>
      <c r="DO36" s="6"/>
      <c r="DP36" s="60"/>
      <c r="DQ36" s="16" t="str">
        <f t="shared" si="109"/>
        <v>Mg</v>
      </c>
      <c r="DR36" s="56">
        <v>24</v>
      </c>
      <c r="DS36" s="33">
        <v>33.5</v>
      </c>
      <c r="DT36" s="52">
        <f>IF($C$38&gt;DR36,IF($C$38&lt;DS36,0,1),1)</f>
        <v>1</v>
      </c>
      <c r="DU36" s="52">
        <f>IF($C$38&gt;(DR36-DR36/100*$M$35),IF($C$38&lt;(DS36+DS36/100*$M$35),0,1),1)</f>
        <v>1</v>
      </c>
      <c r="DV36" s="29">
        <f>IF($C$38&gt;(DR36-DR36/100*$FF$34),IF($C$38&lt;(DS36+DS36/100*$FF$34),0,1),1)</f>
        <v>1</v>
      </c>
      <c r="DW36" s="56">
        <v>10</v>
      </c>
      <c r="DX36" s="33">
        <v>25</v>
      </c>
      <c r="DY36" s="52">
        <f>IF($C$38&gt;DW36,IF($C$38&lt;DX36,0,1),1)</f>
        <v>0</v>
      </c>
      <c r="DZ36" s="52">
        <f>IF($C$38&gt;(DW36-DW36/100*$M$35),IF($C$38&lt;(DX36+DX36/100*$M$35),0,1),1)</f>
        <v>0</v>
      </c>
      <c r="EA36" s="29">
        <f>IF($C$38&gt;(DW36-DW36/100*$FF$34),IF($C$38&lt;(DX36+DX36/100*$FF$34),0,1),1)</f>
        <v>0</v>
      </c>
      <c r="EB36" s="56">
        <v>11.5</v>
      </c>
      <c r="EC36" s="33">
        <v>19</v>
      </c>
      <c r="ED36" s="52">
        <f>IF($C$38&gt;EB36,IF($C$38&lt;EC36,0,1),1)</f>
        <v>0</v>
      </c>
      <c r="EE36" s="52">
        <f>IF($C$38&gt;(EB36-EB36/100*$M$35),IF($C$38&lt;(EC36+EC36/100*$M$35),0,1),1)</f>
        <v>0</v>
      </c>
      <c r="EF36" s="29">
        <f>IF($C$38&gt;(EB36-EB36/100*$FF$34),IF($C$38&lt;(EC36+EC36/100*$FF$34),0,1),1)</f>
        <v>0</v>
      </c>
      <c r="EG36" s="56">
        <v>3</v>
      </c>
      <c r="EH36" s="33">
        <v>15</v>
      </c>
      <c r="EI36" s="52">
        <f>IF($C$38&gt;EG36,IF($C$38&lt;EH36,0,1),1)</f>
        <v>1</v>
      </c>
      <c r="EJ36" s="52">
        <f>IF($C$38&gt;(EG36-EG36/100*$M$35),IF($C$38&lt;(EH36+EH36/100*$M$35),0,1),1)</f>
        <v>1</v>
      </c>
      <c r="EK36" s="29">
        <f>IF($C$38&gt;(EG36-EG36/100*$FF$34),IF($C$38&lt;(EH36+EH36/100*$FF$34),0,1),1)</f>
        <v>1</v>
      </c>
      <c r="EL36" s="56">
        <v>2</v>
      </c>
      <c r="EM36" s="33">
        <v>12.5</v>
      </c>
      <c r="EN36" s="52">
        <f>IF($C$38&gt;EL36,IF($C$38&lt;EM36,0,1),1)</f>
        <v>1</v>
      </c>
      <c r="EO36" s="52">
        <f>IF($C$38&gt;(EL36-EL36/100*$M$35),IF($C$38&lt;(EM36+EM36/100*$M$35),0,1),1)</f>
        <v>1</v>
      </c>
      <c r="EP36" s="29">
        <f>IF($C$38&gt;(EL36-EL36/100*$FF$34),IF($C$38&lt;(EM36+EM36/100*$FF$34),0,1),1)</f>
        <v>1</v>
      </c>
      <c r="EQ36" s="56">
        <v>-1E-05</v>
      </c>
      <c r="ER36" s="33">
        <v>11</v>
      </c>
      <c r="ES36" s="52">
        <f>IF($C$38&gt;EQ36,IF($C$38&lt;ER36,0,1),1)</f>
        <v>1</v>
      </c>
      <c r="ET36" s="52">
        <f>IF($C$38&gt;(EQ36-EQ36/100*$M$35),IF($C$38&lt;(ER36+ER36/100*$M$35),0,1),1)</f>
        <v>1</v>
      </c>
      <c r="EU36" s="29">
        <f>IF($C$38&gt;(EQ36-EQ36/100*$FF$34),IF($C$38&lt;(ER36+ER36/100*$FF$34),0,1),1)</f>
        <v>1</v>
      </c>
      <c r="EV36" s="61"/>
      <c r="EW36" s="60"/>
      <c r="EX36" s="10"/>
      <c r="EY36" s="11">
        <f aca="true" t="shared" si="110" ref="EY36:EY46">IF(J36="x",1,0)</f>
        <v>0</v>
      </c>
      <c r="EZ36" s="2">
        <f aca="true" t="shared" si="111" ref="EZ36:EZ46">IF(N36="x",1,0)</f>
        <v>0</v>
      </c>
      <c r="FA36" s="2">
        <f aca="true" t="shared" si="112" ref="FA36:FA46">IF(R36="x",1,0)</f>
        <v>0</v>
      </c>
      <c r="FB36" s="48">
        <f aca="true" t="shared" si="113" ref="FB36:FB46">IF(V36="x",1,0)</f>
        <v>0</v>
      </c>
      <c r="FC36" s="3"/>
      <c r="FD36" s="3" t="s">
        <v>186</v>
      </c>
      <c r="FE36" s="3"/>
      <c r="FF36" s="3"/>
      <c r="FG36" s="3"/>
      <c r="FH36" s="3"/>
      <c r="FI36" s="3"/>
      <c r="FJ36" s="6"/>
      <c r="FK36" s="61"/>
      <c r="FL36" s="102"/>
      <c r="FM36" s="222" t="s">
        <v>187</v>
      </c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60"/>
      <c r="GB36" s="12" t="s">
        <v>145</v>
      </c>
      <c r="GC36" s="13"/>
      <c r="GD36" s="13"/>
      <c r="GE36" s="14"/>
      <c r="GF36" s="3"/>
      <c r="GG36" s="61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61"/>
      <c r="IM36" s="3"/>
      <c r="IN36" s="3"/>
      <c r="IO36" s="3"/>
      <c r="IP36" s="3"/>
      <c r="IQ36" s="3"/>
      <c r="IR36" s="3"/>
      <c r="IS36" s="3"/>
    </row>
    <row r="37" spans="1:253" ht="12" customHeight="1">
      <c r="A37" s="60"/>
      <c r="B37" s="6" t="s">
        <v>65</v>
      </c>
      <c r="C37" s="135">
        <f aca="true" t="shared" si="114" ref="C37:C44">IF($BA$36=1,C6*$AX$41,IF($BA$36=2,D6*$AY$41,IF($BA$36=3,E6*$AZ$41,IF($BA$36=4,C18*BI36*$AX$42,0))))</f>
        <v>0.07623719862324904</v>
      </c>
      <c r="D37" s="6"/>
      <c r="E37" s="271" t="s">
        <v>188</v>
      </c>
      <c r="F37" s="187" t="str">
        <f>IF(C39=0,"-",IF(C40/C39&gt;100,"&gt; 100",IF(C40/C39&lt;0.01,"&lt; 0,01",C40/C39)))</f>
        <v>-</v>
      </c>
      <c r="G37"/>
      <c r="H37" s="60" t="str">
        <f>AE2</f>
        <v>Olivin (Fe)</v>
      </c>
      <c r="I37" s="260">
        <f>IF($Q$35="n","",IF(AH28="-","",AH28))</f>
      </c>
      <c r="J37" s="3">
        <f>IF(AG16=0,IF($X$23&lt;10,"x (T&lt;10)","x"),AG16)</f>
        <v>4</v>
      </c>
      <c r="K37" s="6"/>
      <c r="L37" s="3" t="str">
        <f>CH2</f>
        <v>Enstatit</v>
      </c>
      <c r="M37" s="260">
        <f>IF($Q$35="n","",IF(CK28="-","",CK28))</f>
      </c>
      <c r="N37" s="3">
        <f>IF(CJ16=0,IF($X$23&lt;10,"x (&lt;10)","x"),CJ16)</f>
        <v>2</v>
      </c>
      <c r="O37" s="6"/>
      <c r="P37" s="3" t="str">
        <f>EK2</f>
        <v>Klinochlor</v>
      </c>
      <c r="Q37" s="260">
        <f>IF($Q$35="n","",IF(EN28="-","",EN28))</f>
      </c>
      <c r="R37" s="3">
        <f>IF(EM16=0,IF($X$23&lt;10,"x (&lt;10)","x"),EM16)</f>
        <v>3</v>
      </c>
      <c r="S37" s="6"/>
      <c r="T37" s="3" t="str">
        <f>GN2</f>
        <v>Biotit (Fe)</v>
      </c>
      <c r="U37" s="263">
        <f>IF($Q$35="n","",IF(GQ28="-","",GQ28))</f>
      </c>
      <c r="V37" s="118">
        <f>IF(GP16=0,IF($X$23&lt;10,"x (&lt;10)","x"),GP16)</f>
        <v>6</v>
      </c>
      <c r="X37" s="210"/>
      <c r="Y37" s="214"/>
      <c r="Z37" s="214" t="s">
        <v>189</v>
      </c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2"/>
      <c r="AW37" s="10"/>
      <c r="AX37" s="97">
        <f>IF(SUM(C18:C28)=0,0,1)</f>
        <v>1</v>
      </c>
      <c r="AY37" s="3"/>
      <c r="AZ37" s="3"/>
      <c r="BA37" s="61" t="str">
        <f>IF(SUM(AX36:AZ37)&gt;1,"nur 1 Datentyp eingeben !!!","OK")</f>
        <v>OK</v>
      </c>
      <c r="BB37" s="6"/>
      <c r="BC37" s="10"/>
      <c r="BD37" s="3"/>
      <c r="BE37" s="3" t="s">
        <v>101</v>
      </c>
      <c r="BF37" s="3"/>
      <c r="BG37" s="16" t="s">
        <v>67</v>
      </c>
      <c r="BH37" s="3"/>
      <c r="BI37" s="81">
        <f>24.305/(24.305+15.999)</f>
        <v>0.6030418816990869</v>
      </c>
      <c r="BJ37" s="36">
        <f>15.999/(24.305+15.999)</f>
        <v>0.39695811830091304</v>
      </c>
      <c r="BK37" s="3"/>
      <c r="BL37" s="6"/>
      <c r="BM37" s="10"/>
      <c r="BN37" s="3"/>
      <c r="BO37" s="3"/>
      <c r="BP37" s="3" t="s">
        <v>67</v>
      </c>
      <c r="BQ37" s="38" t="s">
        <v>190</v>
      </c>
      <c r="BR37" s="137">
        <f>DR36</f>
        <v>24</v>
      </c>
      <c r="BS37" s="39" t="s">
        <v>190</v>
      </c>
      <c r="BT37" s="141">
        <f>DW36</f>
        <v>10</v>
      </c>
      <c r="BU37" s="142" t="s">
        <v>190</v>
      </c>
      <c r="BV37" s="137">
        <f>EB36</f>
        <v>11.5</v>
      </c>
      <c r="BW37" s="143" t="s">
        <v>184</v>
      </c>
      <c r="BX37" s="137">
        <f>EH36</f>
        <v>15</v>
      </c>
      <c r="BY37" s="85"/>
      <c r="BZ37" s="85"/>
      <c r="CA37" s="85"/>
      <c r="CB37" s="85"/>
      <c r="CC37" s="6"/>
      <c r="CD37" s="10"/>
      <c r="CE37" s="3"/>
      <c r="CF37" s="3"/>
      <c r="CG37" s="16">
        <f t="shared" si="105"/>
        <v>0</v>
      </c>
      <c r="CH37" s="3"/>
      <c r="CI37" s="16">
        <f t="shared" si="106"/>
        <v>1</v>
      </c>
      <c r="CJ37" s="3"/>
      <c r="CK37" s="16">
        <f t="shared" si="107"/>
        <v>0</v>
      </c>
      <c r="CL37" s="3"/>
      <c r="CM37" s="16">
        <f t="shared" si="108"/>
        <v>0</v>
      </c>
      <c r="CN37" s="3"/>
      <c r="CO37" s="3"/>
      <c r="CP37" s="3"/>
      <c r="CQ37" s="3"/>
      <c r="CR37" s="6"/>
      <c r="CS37" s="10"/>
      <c r="CT37" s="3" t="s">
        <v>191</v>
      </c>
      <c r="CU37" s="3"/>
      <c r="CV37" s="3"/>
      <c r="CW37" s="10" t="s">
        <v>139</v>
      </c>
      <c r="CX37" s="233">
        <f>DF46</f>
        <v>3.1</v>
      </c>
      <c r="CY37" s="3"/>
      <c r="CZ37" s="70" t="str">
        <f t="shared" si="101"/>
        <v>  Diop. Augit</v>
      </c>
      <c r="DA37" s="20"/>
      <c r="DB37" s="72">
        <v>3.3</v>
      </c>
      <c r="DC37" s="71"/>
      <c r="DD37" s="70" t="str">
        <f t="shared" si="102"/>
        <v>  Hypersthen</v>
      </c>
      <c r="DE37" s="20"/>
      <c r="DF37" s="72">
        <v>3.5</v>
      </c>
      <c r="DG37" s="71"/>
      <c r="DH37" s="70" t="str">
        <f t="shared" si="103"/>
        <v>  Diabantit</v>
      </c>
      <c r="DI37" s="20"/>
      <c r="DJ37" s="72">
        <v>2.9</v>
      </c>
      <c r="DK37" s="71"/>
      <c r="DL37" s="70" t="str">
        <f t="shared" si="104"/>
        <v>  Nontronit</v>
      </c>
      <c r="DM37" s="20"/>
      <c r="DN37" s="73">
        <v>2.3</v>
      </c>
      <c r="DO37" s="6"/>
      <c r="DP37" s="60"/>
      <c r="DQ37" s="16" t="str">
        <f t="shared" si="109"/>
        <v>Al</v>
      </c>
      <c r="DR37" s="56">
        <v>-1E-05</v>
      </c>
      <c r="DS37" s="33">
        <v>3.5</v>
      </c>
      <c r="DT37" s="52">
        <f>IF($C$39&gt;DR37,IF($C$39&lt;DS37,0,1),1)</f>
        <v>0</v>
      </c>
      <c r="DU37" s="52">
        <f>IF($C$39&gt;(DR37-DR37/100*$M$35),IF($C$39&lt;(DS37+DS37/100*$M$35),0,1),1)</f>
        <v>0</v>
      </c>
      <c r="DV37" s="29">
        <f>IF($C$39&gt;(DR37-DR37/100*$FF$34),IF($C$39&lt;(DS37+DS37/100*$FF$34),0,1),1)</f>
        <v>0</v>
      </c>
      <c r="DW37" s="56">
        <v>-1E-05</v>
      </c>
      <c r="DX37" s="33">
        <v>3.5</v>
      </c>
      <c r="DY37" s="52">
        <f>IF($C$39&gt;DW37,IF($C$39&lt;DX37,0,1),1)</f>
        <v>0</v>
      </c>
      <c r="DZ37" s="52">
        <f>IF($C$39&gt;(DW37-DW37/100*$M$35),IF($C$39&lt;(DX37+DX37/100*$M$35),0,1),1)</f>
        <v>0</v>
      </c>
      <c r="EA37" s="29">
        <f>IF($C$39&gt;(DW37-DW37/100*$FF$34),IF($C$39&lt;(DX37+DX37/100*$FF$34),0,1),1)</f>
        <v>0</v>
      </c>
      <c r="EB37" s="56">
        <v>-1E-05</v>
      </c>
      <c r="EC37" s="33">
        <v>3.5</v>
      </c>
      <c r="ED37" s="52">
        <f>IF($C$39&gt;EB37,IF($C$39&lt;EC37,0,1),1)</f>
        <v>0</v>
      </c>
      <c r="EE37" s="52">
        <f>IF($C$39&gt;(EB37-EB37/100*$M$35),IF($C$39&lt;(EC37+EC37/100*$M$35),0,1),1)</f>
        <v>0</v>
      </c>
      <c r="EF37" s="29">
        <f>IF($C$39&gt;(EB37-EB37/100*$FF$34),IF($C$39&lt;(EC37+EC37/100*$FF$34),0,1),1)</f>
        <v>0</v>
      </c>
      <c r="EG37" s="56">
        <v>-1E-05</v>
      </c>
      <c r="EH37" s="33">
        <v>3.5</v>
      </c>
      <c r="EI37" s="52">
        <f>IF($C$39&gt;EG37,IF($C$39&lt;EH37,0,1),1)</f>
        <v>0</v>
      </c>
      <c r="EJ37" s="52">
        <f>IF($C$39&gt;(EG37-EG37/100*$M$35),IF($C$39&lt;(EH37+EH37/100*$M$35),0,1),1)</f>
        <v>0</v>
      </c>
      <c r="EK37" s="29">
        <f>IF($C$39&gt;(EG37-EG37/100*$FF$34),IF($C$39&lt;(EH37+EH37/100*$FF$34),0,1),1)</f>
        <v>0</v>
      </c>
      <c r="EL37" s="56">
        <v>-1E-05</v>
      </c>
      <c r="EM37" s="33">
        <v>3.5</v>
      </c>
      <c r="EN37" s="52">
        <f>IF($C$39&gt;EL37,IF($C$39&lt;EM37,0,1),1)</f>
        <v>0</v>
      </c>
      <c r="EO37" s="52">
        <f>IF($C$39&gt;(EL37-EL37/100*$M$35),IF($C$39&lt;(EM37+EM37/100*$M$35),0,1),1)</f>
        <v>0</v>
      </c>
      <c r="EP37" s="29">
        <f>IF($C$39&gt;(EL37-EL37/100*$FF$34),IF($C$39&lt;(EM37+EM37/100*$FF$34),0,1),1)</f>
        <v>0</v>
      </c>
      <c r="EQ37" s="56">
        <v>-1E-05</v>
      </c>
      <c r="ER37" s="33">
        <v>3.5</v>
      </c>
      <c r="ES37" s="52">
        <f>IF($C$39&gt;EQ37,IF($C$39&lt;ER37,0,1),1)</f>
        <v>0</v>
      </c>
      <c r="ET37" s="52">
        <f>IF($C$39&gt;(EQ37-EQ37/100*$M$35),IF($C$39&lt;(ER37+ER37/100*$M$35),0,1),1)</f>
        <v>0</v>
      </c>
      <c r="EU37" s="29">
        <f>IF($C$39&gt;(EQ37-EQ37/100*$FF$34),IF($C$39&lt;(ER37+ER37/100*$FF$34),0,1),1)</f>
        <v>0</v>
      </c>
      <c r="EV37" s="61"/>
      <c r="EW37" s="60"/>
      <c r="EX37" s="10"/>
      <c r="EY37" s="60">
        <f t="shared" si="110"/>
        <v>0</v>
      </c>
      <c r="EZ37" s="3">
        <f t="shared" si="111"/>
        <v>0</v>
      </c>
      <c r="FA37" s="3">
        <f t="shared" si="112"/>
        <v>0</v>
      </c>
      <c r="FB37" s="61">
        <f t="shared" si="113"/>
        <v>0</v>
      </c>
      <c r="FC37" s="3"/>
      <c r="FD37" s="11" t="s">
        <v>192</v>
      </c>
      <c r="FE37" s="2"/>
      <c r="FF37" s="2"/>
      <c r="FG37" s="2"/>
      <c r="FH37" s="2"/>
      <c r="FI37" s="48"/>
      <c r="FJ37" s="6"/>
      <c r="FK37" s="61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60"/>
      <c r="GB37" s="9">
        <f>IF(M35&gt;98,99,M35+1)</f>
        <v>1</v>
      </c>
      <c r="GC37" s="8"/>
      <c r="GD37" s="8"/>
      <c r="GE37" s="7"/>
      <c r="GF37" s="3"/>
      <c r="GG37" s="61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61"/>
      <c r="IM37" s="3"/>
      <c r="IN37" s="3"/>
      <c r="IO37" s="3"/>
      <c r="IP37" s="3"/>
      <c r="IQ37" s="3"/>
      <c r="IR37" s="3"/>
      <c r="IS37" s="3"/>
    </row>
    <row r="38" spans="1:253" ht="12" customHeight="1">
      <c r="A38" s="60"/>
      <c r="B38" s="6" t="s">
        <v>67</v>
      </c>
      <c r="C38" s="135">
        <f t="shared" si="114"/>
        <v>15.771673917625899</v>
      </c>
      <c r="D38" s="6"/>
      <c r="E38" s="10" t="s">
        <v>193</v>
      </c>
      <c r="F38" s="187">
        <f>IF(C43=0,"-",IF(C40/C43&gt;100,"&gt; 100",IF(C40/C43&lt;0.01,"&lt; 0,01",C40/C43)))</f>
        <v>2.914845148121515</v>
      </c>
      <c r="G38"/>
      <c r="H38" s="60" t="str">
        <f>AJ2</f>
        <v>Diopsid</v>
      </c>
      <c r="I38" s="260">
        <f>IF($Q$35="n","",IF(AM28="-","",AM28))</f>
      </c>
      <c r="J38" s="3">
        <f>IF(AL16=0,IF($X$23&lt;10,"x (T&lt;10)","x"),AL16)</f>
        <v>2</v>
      </c>
      <c r="K38" s="6"/>
      <c r="L38" s="3" t="str">
        <f>CM2</f>
        <v>Bronzit</v>
      </c>
      <c r="M38" s="260">
        <f>IF($Q$35="n","",IF(CP28="-","",CP28))</f>
      </c>
      <c r="N38" s="3">
        <f>IF(CO16=0,IF($X$23&lt;10,"x (&lt;10)","x"),CO16)</f>
        <v>2</v>
      </c>
      <c r="O38" s="6"/>
      <c r="P38" s="3" t="str">
        <f>EP2</f>
        <v>Grochauit</v>
      </c>
      <c r="Q38" s="260">
        <f>IF($Q$35="n","",IF(ES28="-","",ES28))</f>
      </c>
      <c r="R38" s="3">
        <f>IF(ER16=0,IF($X$23&lt;10,"x (&lt;10)","x"),ER16)</f>
        <v>5</v>
      </c>
      <c r="S38" s="6"/>
      <c r="T38" s="3" t="str">
        <f>GS2</f>
        <v>Vermiculit</v>
      </c>
      <c r="U38" s="263">
        <f>IF($Q$35="n","",IF(GV28="-","",GV28))</f>
      </c>
      <c r="V38" s="118">
        <f>IF(GU16=0,IF($X$23&lt;10,"x (&lt;10)","x"),GU16)</f>
        <v>4</v>
      </c>
      <c r="X38" s="210"/>
      <c r="Y38" s="214" t="s">
        <v>194</v>
      </c>
      <c r="Z38" s="214" t="s">
        <v>195</v>
      </c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2"/>
      <c r="AW38" s="10"/>
      <c r="AX38" s="60"/>
      <c r="AY38" s="3"/>
      <c r="AZ38" s="3" t="s">
        <v>196</v>
      </c>
      <c r="BA38" s="61">
        <f>SUM(AX36:AZ37)</f>
        <v>1</v>
      </c>
      <c r="BB38" s="6"/>
      <c r="BC38" s="10"/>
      <c r="BD38" s="3"/>
      <c r="BE38" s="3" t="s">
        <v>197</v>
      </c>
      <c r="BF38" s="3"/>
      <c r="BG38" s="16" t="s">
        <v>70</v>
      </c>
      <c r="BH38" s="3"/>
      <c r="BI38" s="81">
        <f>26.982*2/(26.982*2+15.999*3)</f>
        <v>0.5292611881013328</v>
      </c>
      <c r="BJ38" s="36">
        <f>15.999*3/(26.982*2+15.999*3)</f>
        <v>0.4707388118986671</v>
      </c>
      <c r="BK38" s="3"/>
      <c r="BL38" s="6"/>
      <c r="BM38" s="10"/>
      <c r="BN38" s="3"/>
      <c r="BO38" s="3"/>
      <c r="BP38" s="3" t="s">
        <v>70</v>
      </c>
      <c r="BQ38" s="38" t="s">
        <v>184</v>
      </c>
      <c r="BR38" s="137">
        <f>DS37</f>
        <v>3.5</v>
      </c>
      <c r="BS38" s="39" t="s">
        <v>184</v>
      </c>
      <c r="BT38" s="141">
        <f>DX37</f>
        <v>3.5</v>
      </c>
      <c r="BU38" s="142" t="s">
        <v>184</v>
      </c>
      <c r="BV38" s="137">
        <f>EC37</f>
        <v>3.5</v>
      </c>
      <c r="BW38" s="143" t="s">
        <v>184</v>
      </c>
      <c r="BX38" s="137">
        <f>EH37</f>
        <v>3.5</v>
      </c>
      <c r="BY38" s="85"/>
      <c r="BZ38" s="85"/>
      <c r="CA38" s="85"/>
      <c r="CB38" s="85"/>
      <c r="CC38" s="6"/>
      <c r="CD38" s="10"/>
      <c r="CE38" s="3"/>
      <c r="CF38" s="3"/>
      <c r="CG38" s="16">
        <f t="shared" si="105"/>
        <v>0</v>
      </c>
      <c r="CH38" s="3"/>
      <c r="CI38" s="16">
        <f t="shared" si="106"/>
        <v>0</v>
      </c>
      <c r="CJ38" s="3"/>
      <c r="CK38" s="16">
        <f t="shared" si="107"/>
        <v>0</v>
      </c>
      <c r="CL38" s="3"/>
      <c r="CM38" s="16">
        <f t="shared" si="108"/>
        <v>1</v>
      </c>
      <c r="CN38" s="3"/>
      <c r="CO38" s="3"/>
      <c r="CP38" s="3"/>
      <c r="CQ38" s="3"/>
      <c r="CR38" s="6"/>
      <c r="CS38" s="10"/>
      <c r="CT38" s="3"/>
      <c r="CU38" s="3"/>
      <c r="CV38" s="3"/>
      <c r="CW38" s="10" t="s">
        <v>159</v>
      </c>
      <c r="CX38" s="233">
        <f>DJ45</f>
        <v>3</v>
      </c>
      <c r="CY38" s="3"/>
      <c r="CZ38" s="70" t="str">
        <f t="shared" si="101"/>
        <v>  Diop. Augit (Al)</v>
      </c>
      <c r="DA38" s="20"/>
      <c r="DB38" s="72">
        <v>3.3</v>
      </c>
      <c r="DC38" s="71"/>
      <c r="DD38" s="70" t="str">
        <f t="shared" si="102"/>
        <v>  Fe-Hypersthen</v>
      </c>
      <c r="DE38" s="20"/>
      <c r="DF38" s="72">
        <v>3.6</v>
      </c>
      <c r="DG38" s="71"/>
      <c r="DH38" s="70" t="str">
        <f t="shared" si="103"/>
        <v>  Pyknochlorit</v>
      </c>
      <c r="DI38" s="20"/>
      <c r="DJ38" s="72">
        <v>2.9</v>
      </c>
      <c r="DK38" s="71"/>
      <c r="DL38" s="70" t="str">
        <f t="shared" si="104"/>
        <v>  Montmorillonit</v>
      </c>
      <c r="DM38" s="20"/>
      <c r="DN38" s="73">
        <v>2.1</v>
      </c>
      <c r="DO38" s="6"/>
      <c r="DP38" s="60"/>
      <c r="DQ38" s="16" t="str">
        <f t="shared" si="109"/>
        <v>Si</v>
      </c>
      <c r="DR38" s="56">
        <v>17</v>
      </c>
      <c r="DS38" s="33">
        <v>26.5</v>
      </c>
      <c r="DT38" s="52">
        <f>IF($C$40&gt;DR38,IF($C$40&lt;DS38,0,1),1)</f>
        <v>1</v>
      </c>
      <c r="DU38" s="52">
        <f>IF($C$40&gt;(DR38-DR38/100*$M$35),IF($C$40&lt;(DS38+DS38/100*$M$35),0,1),1)</f>
        <v>1</v>
      </c>
      <c r="DV38" s="29">
        <f>IF($C$40&gt;(DR38-DR38/100*$FF$34),IF($C$40&lt;(DS38+DS38/100*$FF$34),0,1),1)</f>
        <v>1</v>
      </c>
      <c r="DW38" s="56">
        <v>23</v>
      </c>
      <c r="DX38" s="33">
        <v>32</v>
      </c>
      <c r="DY38" s="52">
        <f>IF($C$40&gt;DW38,IF($C$40&lt;DX38,0,1),1)</f>
        <v>0</v>
      </c>
      <c r="DZ38" s="52">
        <f>IF($C$40&gt;(DW38-DW38/100*$M$35),IF($C$40&lt;(DX38+DX38/100*$M$35),0,1),1)</f>
        <v>0</v>
      </c>
      <c r="EA38" s="29">
        <f>IF($C$40&gt;(DW38-DW38/100*$FF$34),IF($C$40&lt;(DX38+DX38/100*$FF$34),0,1),1)</f>
        <v>0</v>
      </c>
      <c r="EB38" s="56">
        <v>23</v>
      </c>
      <c r="EC38" s="33">
        <v>31.5</v>
      </c>
      <c r="ED38" s="52">
        <f>IF($C$40&gt;EB38,IF($C$40&lt;EC38,0,1),1)</f>
        <v>0</v>
      </c>
      <c r="EE38" s="52">
        <f>IF($C$40&gt;(EB38-EB38/100*$M$35),IF($C$40&lt;(EC38+EC38/100*$M$35),0,1),1)</f>
        <v>0</v>
      </c>
      <c r="EF38" s="29">
        <f>IF($C$40&gt;(EB38-EB38/100*$FF$34),IF($C$40&lt;(EC38+EC38/100*$FF$34),0,1),1)</f>
        <v>0</v>
      </c>
      <c r="EG38" s="56">
        <v>20</v>
      </c>
      <c r="EH38" s="33">
        <v>29.5</v>
      </c>
      <c r="EI38" s="52">
        <f>IF($C$40&gt;EG38,IF($C$40&lt;EH38,0,1),1)</f>
        <v>0</v>
      </c>
      <c r="EJ38" s="52">
        <f>IF($C$40&gt;(EG38-EG38/100*$M$35),IF($C$40&lt;(EH38+EH38/100*$M$35),0,1),1)</f>
        <v>0</v>
      </c>
      <c r="EK38" s="29">
        <f>IF($C$40&gt;(EG38-EG38/100*$FF$34),IF($C$40&lt;(EH38+EH38/100*$FF$34),0,1),1)</f>
        <v>0</v>
      </c>
      <c r="EL38" s="56">
        <v>20</v>
      </c>
      <c r="EM38" s="33">
        <v>28.5</v>
      </c>
      <c r="EN38" s="52">
        <f>IF($C$40&gt;EL38,IF($C$40&lt;EM38,0,1),1)</f>
        <v>0</v>
      </c>
      <c r="EO38" s="52">
        <f>IF($C$40&gt;(EL38-EL38/100*$M$35),IF($C$40&lt;(EM38+EM38/100*$M$35),0,1),1)</f>
        <v>0</v>
      </c>
      <c r="EP38" s="29">
        <f>IF($C$40&gt;(EL38-EL38/100*$FF$34),IF($C$40&lt;(EM38+EM38/100*$FF$34),0,1),1)</f>
        <v>0</v>
      </c>
      <c r="EQ38" s="56">
        <v>22</v>
      </c>
      <c r="ER38" s="33">
        <v>28</v>
      </c>
      <c r="ES38" s="52">
        <f>IF($C$40&gt;EQ38,IF($C$40&lt;ER38,0,1),1)</f>
        <v>1</v>
      </c>
      <c r="ET38" s="52">
        <f>IF($C$40&gt;(EQ38-EQ38/100*$M$35),IF($C$40&lt;(ER38+ER38/100*$M$35),0,1),1)</f>
        <v>1</v>
      </c>
      <c r="EU38" s="29">
        <f>IF($C$40&gt;(EQ38-EQ38/100*$FF$34),IF($C$40&lt;(ER38+ER38/100*$FF$34),0,1),1)</f>
        <v>1</v>
      </c>
      <c r="EV38" s="61"/>
      <c r="EW38" s="60"/>
      <c r="EX38" s="10"/>
      <c r="EY38" s="60">
        <f t="shared" si="110"/>
        <v>0</v>
      </c>
      <c r="EZ38" s="3">
        <f t="shared" si="111"/>
        <v>0</v>
      </c>
      <c r="FA38" s="3">
        <f t="shared" si="112"/>
        <v>0</v>
      </c>
      <c r="FB38" s="61">
        <f t="shared" si="113"/>
        <v>0</v>
      </c>
      <c r="FC38" s="3"/>
      <c r="FD38" s="60"/>
      <c r="FE38" s="3"/>
      <c r="FF38" s="3"/>
      <c r="FG38" s="3"/>
      <c r="FH38" s="3"/>
      <c r="FI38" s="61"/>
      <c r="FJ38" s="6"/>
      <c r="FK38" s="61"/>
      <c r="FL38" s="3"/>
      <c r="FM38" s="3" t="s">
        <v>132</v>
      </c>
      <c r="FN38" s="3"/>
      <c r="FO38" s="3" t="s">
        <v>133</v>
      </c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60"/>
      <c r="GB38" s="3"/>
      <c r="GC38" s="3"/>
      <c r="GD38" s="3"/>
      <c r="GE38" s="3"/>
      <c r="GF38" s="3"/>
      <c r="GG38" s="61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61"/>
      <c r="IM38" s="3"/>
      <c r="IN38" s="3"/>
      <c r="IO38" s="3"/>
      <c r="IP38" s="3"/>
      <c r="IQ38" s="3"/>
      <c r="IR38" s="3"/>
      <c r="IS38" s="3"/>
    </row>
    <row r="39" spans="1:253" ht="12" customHeight="1" thickBot="1">
      <c r="A39" s="60"/>
      <c r="B39" s="6" t="s">
        <v>70</v>
      </c>
      <c r="C39" s="135">
        <f t="shared" si="114"/>
        <v>0</v>
      </c>
      <c r="D39" s="6"/>
      <c r="E39" s="10" t="s">
        <v>198</v>
      </c>
      <c r="F39" s="187" t="str">
        <f>IF(C45=0,"-",IF(C40/C45&gt;100,"&gt; 100",IF(C40/C45&lt;0.01,"&lt; 0,01",C40/C45)))</f>
        <v>&gt; 100</v>
      </c>
      <c r="G39"/>
      <c r="H39" s="60" t="str">
        <f>AO2</f>
        <v>Diop. Augit</v>
      </c>
      <c r="I39" s="260">
        <f>IF($Q$35="n","",IF(AR28="-","",AR28))</f>
      </c>
      <c r="J39" s="3">
        <f>IF(AQ16=0,IF($X$23&lt;10,"x (T&lt;10)","x"),AQ16)</f>
        <v>5</v>
      </c>
      <c r="K39" s="6"/>
      <c r="L39" s="3" t="str">
        <f>CR2</f>
        <v>Hypersthen</v>
      </c>
      <c r="M39" s="260">
        <f>IF($Q$35="n","",IF(CU28="-","",CU28))</f>
      </c>
      <c r="N39" s="3">
        <f>IF(CT16=0,IF($X$23&lt;10,"x (&lt;10)","x"),CT16)</f>
        <v>3</v>
      </c>
      <c r="O39" s="6"/>
      <c r="P39" s="3" t="str">
        <f>EU2</f>
        <v>Diabantit</v>
      </c>
      <c r="Q39" s="260">
        <f>IF($Q$35="n","",IF(EX28="-","",EX28))</f>
      </c>
      <c r="R39" s="3">
        <f>IF(EW16=0,IF($X$23&lt;10,"x (&lt;10)","x"),EW16)</f>
        <v>4</v>
      </c>
      <c r="S39" s="6"/>
      <c r="T39" s="3" t="str">
        <f>GX2</f>
        <v>Nontronit</v>
      </c>
      <c r="U39" s="263">
        <f>IF($Q$35="n","",IF(HA28="-","",HA28))</f>
      </c>
      <c r="V39" s="118">
        <f>IF(GZ16=0,IF($X$23&lt;10,"x (&lt;10)","x"),GZ16)</f>
        <v>5</v>
      </c>
      <c r="X39" s="210"/>
      <c r="Y39" s="214"/>
      <c r="Z39" s="214" t="s">
        <v>199</v>
      </c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2"/>
      <c r="AL39" s="280"/>
      <c r="AM39" s="280"/>
      <c r="AN39" s="280"/>
      <c r="AO39" s="280"/>
      <c r="AP39" s="280"/>
      <c r="AQ39" s="280"/>
      <c r="AR39" s="280"/>
      <c r="AS39" s="280"/>
      <c r="AW39" s="10"/>
      <c r="AX39" s="4" t="s">
        <v>200</v>
      </c>
      <c r="AY39" s="5"/>
      <c r="AZ39" s="99">
        <f>IF(BA36=1,ROUNDDOWN(AX53,2),IF(BA36=2,SUM(D6:D14),IF(BA36=3,SUM(E6:E14),IF(BA36=4,SUM(C18:C28),"---"))))</f>
        <v>97.31</v>
      </c>
      <c r="BA39" s="49"/>
      <c r="BB39" s="6"/>
      <c r="BC39" s="10"/>
      <c r="BD39" s="3"/>
      <c r="BE39" s="3" t="s">
        <v>201</v>
      </c>
      <c r="BF39" s="3"/>
      <c r="BG39" s="16" t="s">
        <v>74</v>
      </c>
      <c r="BH39" s="3"/>
      <c r="BI39" s="81">
        <f>28.086/(28.086+15.999*2)</f>
        <v>0.46744557619332927</v>
      </c>
      <c r="BJ39" s="36">
        <f>15.999*2/(28.086+15.999*2)</f>
        <v>0.5325544238066706</v>
      </c>
      <c r="BK39" s="3"/>
      <c r="BL39" s="6"/>
      <c r="BM39" s="10"/>
      <c r="BN39" s="3"/>
      <c r="BO39" s="3"/>
      <c r="BP39" s="3" t="s">
        <v>74</v>
      </c>
      <c r="BQ39" s="38" t="s">
        <v>190</v>
      </c>
      <c r="BR39" s="137">
        <f>DR38</f>
        <v>17</v>
      </c>
      <c r="BS39" s="39" t="s">
        <v>190</v>
      </c>
      <c r="BT39" s="141">
        <f>DW38</f>
        <v>23</v>
      </c>
      <c r="BU39" s="142" t="s">
        <v>190</v>
      </c>
      <c r="BV39" s="137">
        <f>EB38</f>
        <v>23</v>
      </c>
      <c r="BW39" s="143" t="s">
        <v>190</v>
      </c>
      <c r="BX39" s="137">
        <f>EG38</f>
        <v>20</v>
      </c>
      <c r="BY39" s="85"/>
      <c r="BZ39" s="85"/>
      <c r="CA39" s="85"/>
      <c r="CB39" s="85"/>
      <c r="CC39" s="6"/>
      <c r="CD39" s="10"/>
      <c r="CE39" s="3"/>
      <c r="CF39" s="3"/>
      <c r="CG39" s="16">
        <f t="shared" si="105"/>
        <v>1</v>
      </c>
      <c r="CH39" s="3"/>
      <c r="CI39" s="16">
        <f t="shared" si="106"/>
        <v>1</v>
      </c>
      <c r="CJ39" s="3"/>
      <c r="CK39" s="16">
        <f t="shared" si="107"/>
        <v>0</v>
      </c>
      <c r="CL39" s="3"/>
      <c r="CM39" s="16">
        <f t="shared" si="108"/>
        <v>0</v>
      </c>
      <c r="CN39" s="3"/>
      <c r="CO39" s="3"/>
      <c r="CP39" s="3"/>
      <c r="CQ39" s="3"/>
      <c r="CR39" s="6"/>
      <c r="CS39" s="10"/>
      <c r="CT39" s="3"/>
      <c r="CU39" s="3"/>
      <c r="CV39" s="3"/>
      <c r="CW39" s="10" t="s">
        <v>141</v>
      </c>
      <c r="CX39" s="233">
        <f>DJ46</f>
        <v>3.3</v>
      </c>
      <c r="CY39" s="3"/>
      <c r="CZ39" s="70" t="str">
        <f>CONCATENATE("  ",H41)</f>
        <v>  Ägirinaugit</v>
      </c>
      <c r="DA39" s="20"/>
      <c r="DB39" s="72">
        <v>3.4</v>
      </c>
      <c r="DC39" s="71"/>
      <c r="DD39" s="70" t="str">
        <f>CONCATENATE("  ",L41)</f>
        <v>  Pargasit</v>
      </c>
      <c r="DE39" s="20"/>
      <c r="DF39" s="72">
        <v>3.2</v>
      </c>
      <c r="DG39" s="71"/>
      <c r="DH39" s="70" t="str">
        <f>CONCATENATE("  ",P41)</f>
        <v>  Rhipidolith</v>
      </c>
      <c r="DI39" s="20"/>
      <c r="DJ39" s="72">
        <v>2.9</v>
      </c>
      <c r="DK39" s="71"/>
      <c r="DL39" s="70" t="str">
        <f>CONCATENATE("  ",T41)</f>
        <v>  Saponit</v>
      </c>
      <c r="DM39" s="20"/>
      <c r="DN39" s="73">
        <v>2.4</v>
      </c>
      <c r="DO39" s="6"/>
      <c r="DP39" s="60"/>
      <c r="DQ39" s="16" t="str">
        <f t="shared" si="109"/>
        <v>S</v>
      </c>
      <c r="DR39" s="56">
        <v>-1E-05</v>
      </c>
      <c r="DS39" s="33">
        <v>1</v>
      </c>
      <c r="DT39" s="52">
        <f>IF($C$41&gt;DR39,IF($C$41&lt;DS39,0,1),1)</f>
        <v>0</v>
      </c>
      <c r="DU39" s="52">
        <f>IF($C$41&gt;(DR39-DR39/100*$M$35),IF($C$41&lt;(DS39+DS39/100*$M$35),0,1),1)</f>
        <v>0</v>
      </c>
      <c r="DV39" s="29">
        <f>IF($C$41&gt;(DR39-DR39/100*$FF$34),IF($C$41&lt;(DS39+DS39/100*$FF$34),0,1),1)</f>
        <v>0</v>
      </c>
      <c r="DW39" s="56">
        <v>-1E-05</v>
      </c>
      <c r="DX39" s="33">
        <v>1</v>
      </c>
      <c r="DY39" s="52">
        <f>IF($C$41&gt;DW39,IF($C$41&lt;DX39,0,1),1)</f>
        <v>0</v>
      </c>
      <c r="DZ39" s="52">
        <f>IF($C$41&gt;(DW39-DW39/100*$M$35),IF($C$41&lt;(DX39+DX39/100*$M$35),0,1),1)</f>
        <v>0</v>
      </c>
      <c r="EA39" s="29">
        <f>IF($C$41&gt;(DW39-DW39/100*$FF$34),IF($C$41&lt;(DX39+DX39/100*$FF$34),0,1),1)</f>
        <v>0</v>
      </c>
      <c r="EB39" s="56">
        <v>-1E-05</v>
      </c>
      <c r="EC39" s="33">
        <v>1</v>
      </c>
      <c r="ED39" s="52">
        <f>IF($C$41&gt;EB39,IF($C$41&lt;EC39,0,1),1)</f>
        <v>0</v>
      </c>
      <c r="EE39" s="52">
        <f>IF($C$41&gt;(EB39-EB39/100*$M$35),IF($C$41&lt;(EC39+EC39/100*$M$35),0,1),1)</f>
        <v>0</v>
      </c>
      <c r="EF39" s="29">
        <f>IF($C$41&gt;(EB39-EB39/100*$FF$34),IF($C$41&lt;(EC39+EC39/100*$FF$34),0,1),1)</f>
        <v>0</v>
      </c>
      <c r="EG39" s="56">
        <v>-1E-05</v>
      </c>
      <c r="EH39" s="33">
        <v>1</v>
      </c>
      <c r="EI39" s="52">
        <f>IF($C$41&gt;EG39,IF($C$41&lt;EH39,0,1),1)</f>
        <v>0</v>
      </c>
      <c r="EJ39" s="52">
        <f>IF($C$41&gt;(EG39-EG39/100*$M$35),IF($C$41&lt;(EH39+EH39/100*$M$35),0,1),1)</f>
        <v>0</v>
      </c>
      <c r="EK39" s="29">
        <f>IF($C$41&gt;(EG39-EG39/100*$FF$34),IF($C$41&lt;(EH39+EH39/100*$FF$34),0,1),1)</f>
        <v>0</v>
      </c>
      <c r="EL39" s="56">
        <v>-1E-05</v>
      </c>
      <c r="EM39" s="33">
        <v>1</v>
      </c>
      <c r="EN39" s="52">
        <f>IF($C$41&gt;EL39,IF($C$41&lt;EM39,0,1),1)</f>
        <v>0</v>
      </c>
      <c r="EO39" s="52">
        <f>IF($C$41&gt;(EL39-EL39/100*$M$35),IF($C$41&lt;(EM39+EM39/100*$M$35),0,1),1)</f>
        <v>0</v>
      </c>
      <c r="EP39" s="29">
        <f>IF($C$41&gt;(EL39-EL39/100*$FF$34),IF($C$41&lt;(EM39+EM39/100*$FF$34),0,1),1)</f>
        <v>0</v>
      </c>
      <c r="EQ39" s="56">
        <v>-1E-05</v>
      </c>
      <c r="ER39" s="33">
        <v>1</v>
      </c>
      <c r="ES39" s="52">
        <f>IF($C$41&gt;EQ39,IF($C$41&lt;ER39,0,1),1)</f>
        <v>0</v>
      </c>
      <c r="ET39" s="52">
        <f>IF($C$41&gt;(EQ39-EQ39/100*$M$35),IF($C$41&lt;(ER39+ER39/100*$M$35),0,1),1)</f>
        <v>0</v>
      </c>
      <c r="EU39" s="29">
        <f>IF($C$41&gt;(EQ39-EQ39/100*$FF$34),IF($C$41&lt;(ER39+ER39/100*$FF$34),0,1),1)</f>
        <v>0</v>
      </c>
      <c r="EV39" s="61"/>
      <c r="EW39" s="60"/>
      <c r="EX39" s="10"/>
      <c r="EY39" s="60">
        <f t="shared" si="110"/>
        <v>0</v>
      </c>
      <c r="EZ39" s="3">
        <f t="shared" si="111"/>
        <v>0</v>
      </c>
      <c r="FA39" s="3">
        <f t="shared" si="112"/>
        <v>0</v>
      </c>
      <c r="FB39" s="61">
        <f t="shared" si="113"/>
        <v>0</v>
      </c>
      <c r="FC39" s="3"/>
      <c r="FD39" s="60"/>
      <c r="FE39" s="3">
        <f aca="true" t="shared" si="115" ref="FE39:FE49">IF(J36="x",1,0)</f>
        <v>0</v>
      </c>
      <c r="FF39" s="3">
        <f aca="true" t="shared" si="116" ref="FF39:FF51">IF(N36="x",1,0)</f>
        <v>0</v>
      </c>
      <c r="FG39" s="3">
        <f aca="true" t="shared" si="117" ref="FG39:FG51">IF(R36="x",1,0)</f>
        <v>0</v>
      </c>
      <c r="FH39" s="3">
        <f aca="true" t="shared" si="118" ref="FH39:FH51">IF(V36="x",1,0)</f>
        <v>0</v>
      </c>
      <c r="FI39" s="61"/>
      <c r="FJ39" s="6"/>
      <c r="FK39" s="61"/>
      <c r="FL39" s="3"/>
      <c r="FM39" s="3"/>
      <c r="FN39" s="3"/>
      <c r="FO39" s="3" t="s">
        <v>202</v>
      </c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60"/>
      <c r="GB39" s="3" t="s">
        <v>203</v>
      </c>
      <c r="GC39" s="3"/>
      <c r="GD39" s="3"/>
      <c r="GE39" s="3"/>
      <c r="GF39" s="3"/>
      <c r="GG39" s="61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61"/>
      <c r="IM39" s="3"/>
      <c r="IN39" s="3"/>
      <c r="IO39" s="3"/>
      <c r="IP39" s="3"/>
      <c r="IQ39" s="3"/>
      <c r="IR39" s="3"/>
      <c r="IS39" s="3"/>
    </row>
    <row r="40" spans="1:253" ht="12" customHeight="1">
      <c r="A40" s="60"/>
      <c r="B40" s="6" t="s">
        <v>74</v>
      </c>
      <c r="C40" s="135">
        <f t="shared" si="114"/>
        <v>28.130318509794844</v>
      </c>
      <c r="D40" s="6"/>
      <c r="E40" s="9" t="s">
        <v>204</v>
      </c>
      <c r="F40" s="188" t="str">
        <f>IF(C38=0,"-",IF(C45=0,"-",IF(C38/C45&gt;100,"&gt; 100",IF(C38/C45&lt;0.01,"&lt; 0,01",C38/C45))))</f>
        <v>&gt; 100</v>
      </c>
      <c r="G40"/>
      <c r="H40" s="60" t="str">
        <f>AT2</f>
        <v>Diop. Augit (Al)</v>
      </c>
      <c r="I40" s="260">
        <f>IF($Q$35="n","",IF(AW28="-","",AW28))</f>
      </c>
      <c r="J40" s="3">
        <f>IF(AV16=0,IF($X$23&lt;10,"x (T&lt;10)","x"),AV16)</f>
        <v>5</v>
      </c>
      <c r="K40" s="6"/>
      <c r="L40" s="3" t="str">
        <f>CW2</f>
        <v>Fe-Hypersthen</v>
      </c>
      <c r="M40" s="260">
        <f>IF($Q$35="n","",IF(CZ28="-","",CZ28))</f>
      </c>
      <c r="N40" s="3">
        <f>IF(CY16=0,IF($X$23&lt;10,"x (&lt;10)","x"),CY16)</f>
        <v>4</v>
      </c>
      <c r="O40" s="6"/>
      <c r="P40" s="3" t="str">
        <f>EZ2</f>
        <v>Pyknochlorit</v>
      </c>
      <c r="Q40" s="260">
        <f>IF($Q$35="n","",IF(FC28="-","",FC28))</f>
      </c>
      <c r="R40" s="3">
        <f>IF(FB16=0,IF($X$23&lt;10,"x (&lt;10)","x"),FB16)</f>
        <v>4</v>
      </c>
      <c r="S40" s="6"/>
      <c r="T40" s="3" t="str">
        <f>HC2</f>
        <v>Montmorillonit</v>
      </c>
      <c r="U40" s="263">
        <f>IF($Q$35="n","",IF(HF28="-","",HF28))</f>
      </c>
      <c r="V40" s="118">
        <f>IF(HE16=0,IF($X$23&lt;10,"x (&lt;10)","x"),HE16)</f>
        <v>5</v>
      </c>
      <c r="X40" s="210"/>
      <c r="Y40" s="213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2"/>
      <c r="AL40" s="280"/>
      <c r="AM40" s="280"/>
      <c r="AN40" s="280"/>
      <c r="AO40" s="280"/>
      <c r="AP40" s="280"/>
      <c r="AQ40" s="280"/>
      <c r="AR40" s="280"/>
      <c r="AS40" s="280"/>
      <c r="AW40" s="10"/>
      <c r="AX40" s="60" t="s">
        <v>205</v>
      </c>
      <c r="AY40" s="3"/>
      <c r="AZ40" s="3"/>
      <c r="BA40" s="61"/>
      <c r="BB40" s="6"/>
      <c r="BC40" s="10"/>
      <c r="BD40" s="3"/>
      <c r="BE40" s="3" t="s">
        <v>206</v>
      </c>
      <c r="BF40" s="3"/>
      <c r="BG40" s="16" t="s">
        <v>77</v>
      </c>
      <c r="BH40" s="3"/>
      <c r="BI40" s="81">
        <f>32.066/(32.066+15.999*4)</f>
        <v>0.3338052507755408</v>
      </c>
      <c r="BJ40" s="36">
        <f>15.999*4/(32.066+15.999*4)</f>
        <v>0.6661947492244591</v>
      </c>
      <c r="BK40" s="3"/>
      <c r="BL40" s="6"/>
      <c r="BM40" s="10"/>
      <c r="BN40" s="3"/>
      <c r="BO40" s="3"/>
      <c r="BP40" s="3" t="s">
        <v>77</v>
      </c>
      <c r="BQ40" s="38" t="s">
        <v>184</v>
      </c>
      <c r="BR40" s="137">
        <f aca="true" t="shared" si="119" ref="BR40:BR45">DS39</f>
        <v>1</v>
      </c>
      <c r="BS40" s="39" t="s">
        <v>184</v>
      </c>
      <c r="BT40" s="141">
        <f aca="true" t="shared" si="120" ref="BT40:BT45">DX39</f>
        <v>1</v>
      </c>
      <c r="BU40" s="142" t="s">
        <v>184</v>
      </c>
      <c r="BV40" s="137">
        <f>EC39</f>
        <v>1</v>
      </c>
      <c r="BW40" s="143" t="s">
        <v>184</v>
      </c>
      <c r="BX40" s="137">
        <f>EH39</f>
        <v>1</v>
      </c>
      <c r="BY40" s="85"/>
      <c r="BZ40" s="85"/>
      <c r="CA40" s="85"/>
      <c r="CB40" s="85"/>
      <c r="CC40" s="6"/>
      <c r="CD40" s="10"/>
      <c r="CE40" s="3"/>
      <c r="CF40" s="3"/>
      <c r="CG40" s="16">
        <f t="shared" si="105"/>
        <v>0</v>
      </c>
      <c r="CH40" s="3"/>
      <c r="CI40" s="16">
        <f t="shared" si="106"/>
        <v>0</v>
      </c>
      <c r="CJ40" s="3"/>
      <c r="CK40" s="16">
        <f t="shared" si="107"/>
        <v>0</v>
      </c>
      <c r="CL40" s="3"/>
      <c r="CM40" s="16">
        <f t="shared" si="108"/>
        <v>0</v>
      </c>
      <c r="CN40" s="3"/>
      <c r="CO40" s="3"/>
      <c r="CP40" s="3"/>
      <c r="CQ40" s="3"/>
      <c r="CR40" s="6"/>
      <c r="CS40" s="10"/>
      <c r="CT40" s="3"/>
      <c r="CU40" s="3"/>
      <c r="CV40" s="3"/>
      <c r="CW40" s="9"/>
      <c r="CX40" s="7"/>
      <c r="CY40" s="3"/>
      <c r="CZ40" s="70" t="str">
        <f t="shared" si="101"/>
        <v>  Augit</v>
      </c>
      <c r="DA40" s="20"/>
      <c r="DB40" s="72">
        <v>3.4</v>
      </c>
      <c r="DC40" s="71"/>
      <c r="DD40" s="70" t="str">
        <f t="shared" si="102"/>
        <v>  Hastingsit</v>
      </c>
      <c r="DE40" s="20"/>
      <c r="DF40" s="72">
        <v>3.3</v>
      </c>
      <c r="DG40" s="71"/>
      <c r="DH40" s="70" t="str">
        <f t="shared" si="103"/>
        <v>  Brunsvigit</v>
      </c>
      <c r="DI40" s="20"/>
      <c r="DJ40" s="72">
        <v>3.1</v>
      </c>
      <c r="DK40" s="71"/>
      <c r="DL40" s="70" t="str">
        <f t="shared" si="104"/>
        <v>  Epidot</v>
      </c>
      <c r="DM40" s="20"/>
      <c r="DN40" s="73">
        <v>3.4</v>
      </c>
      <c r="DO40" s="6"/>
      <c r="DP40" s="60"/>
      <c r="DQ40" s="16" t="str">
        <f t="shared" si="109"/>
        <v>K</v>
      </c>
      <c r="DR40" s="56">
        <v>-1E-05</v>
      </c>
      <c r="DS40" s="33">
        <v>1</v>
      </c>
      <c r="DT40" s="52">
        <f>IF($C$42&gt;DR40,IF($C$42&lt;DS40,0,1),1)</f>
        <v>0</v>
      </c>
      <c r="DU40" s="52">
        <f>IF($C$42&gt;(DR40-DR40/100*$M$35),IF($C$42&lt;(DS40+DS40/100*$M$35),0,1),1)</f>
        <v>0</v>
      </c>
      <c r="DV40" s="29">
        <f>IF($C$42&gt;(DR40-DR40/100*$FF$34),IF($C$42&lt;(DS40+DS40/100*$FF$34),0,1),1)</f>
        <v>0</v>
      </c>
      <c r="DW40" s="56">
        <v>-1E-05</v>
      </c>
      <c r="DX40" s="33">
        <v>1.5</v>
      </c>
      <c r="DY40" s="52">
        <f>IF($C$42&gt;DW40,IF($C$42&lt;DX40,0,1),1)</f>
        <v>0</v>
      </c>
      <c r="DZ40" s="52">
        <f>IF($C$42&gt;(DW40-DW40/100*$M$35),IF($C$42&lt;(DX40+DX40/100*$M$35),0,1),1)</f>
        <v>0</v>
      </c>
      <c r="EA40" s="29">
        <f>IF($C$42&gt;(DW40-DW40/100*$FF$34),IF($C$42&lt;(DX40+DX40/100*$FF$34),0,1),1)</f>
        <v>0</v>
      </c>
      <c r="EB40" s="56">
        <v>-1E-05</v>
      </c>
      <c r="EC40" s="33">
        <v>1.5</v>
      </c>
      <c r="ED40" s="52">
        <f>IF($C$42&gt;EB40,IF($C$42&lt;EC40,0,1),1)</f>
        <v>0</v>
      </c>
      <c r="EE40" s="52">
        <f>IF($C$42&gt;(EB40-EB40/100*$M$35),IF($C$42&lt;(EC40+EC40/100*$M$35),0,1),1)</f>
        <v>0</v>
      </c>
      <c r="EF40" s="29">
        <f>IF($C$42&gt;(EB40-EB40/100*$FF$34),IF($C$42&lt;(EC40+EC40/100*$FF$34),0,1),1)</f>
        <v>0</v>
      </c>
      <c r="EG40" s="56">
        <v>-1E-05</v>
      </c>
      <c r="EH40" s="33">
        <v>1.5</v>
      </c>
      <c r="EI40" s="52">
        <f>IF($C$42&gt;EG40,IF($C$42&lt;EH40,0,1),1)</f>
        <v>0</v>
      </c>
      <c r="EJ40" s="52">
        <f>IF($C$42&gt;(EG40-EG40/100*$M$35),IF($C$42&lt;(EH40+EH40/100*$M$35),0,1),1)</f>
        <v>0</v>
      </c>
      <c r="EK40" s="29">
        <f>IF($C$42&gt;(EG40-EG40/100*$FF$34),IF($C$42&lt;(EH40+EH40/100*$FF$34),0,1),1)</f>
        <v>0</v>
      </c>
      <c r="EL40" s="56">
        <v>-1E-05</v>
      </c>
      <c r="EM40" s="33">
        <v>1</v>
      </c>
      <c r="EN40" s="52">
        <f>IF($C$42&gt;EL40,IF($C$42&lt;EM40,0,1),1)</f>
        <v>0</v>
      </c>
      <c r="EO40" s="52">
        <f>IF($C$42&gt;(EL40-EL40/100*$M$35),IF($C$42&lt;(EM40+EM40/100*$M$35),0,1),1)</f>
        <v>0</v>
      </c>
      <c r="EP40" s="29">
        <f>IF($C$42&gt;(EL40-EL40/100*$FF$34),IF($C$42&lt;(EM40+EM40/100*$FF$34),0,1),1)</f>
        <v>0</v>
      </c>
      <c r="EQ40" s="56">
        <v>-1E-05</v>
      </c>
      <c r="ER40" s="33">
        <v>1</v>
      </c>
      <c r="ES40" s="52">
        <f>IF($C$42&gt;EQ40,IF($C$42&lt;ER40,0,1),1)</f>
        <v>0</v>
      </c>
      <c r="ET40" s="52">
        <f>IF($C$42&gt;(EQ40-EQ40/100*$M$35),IF($C$42&lt;(ER40+ER40/100*$M$35),0,1),1)</f>
        <v>0</v>
      </c>
      <c r="EU40" s="29">
        <f>IF($C$42&gt;(EQ40-EQ40/100*$FF$34),IF($C$42&lt;(ER40+ER40/100*$FF$34),0,1),1)</f>
        <v>0</v>
      </c>
      <c r="EV40" s="61"/>
      <c r="EW40" s="60"/>
      <c r="EX40" s="10"/>
      <c r="EY40" s="60">
        <f t="shared" si="110"/>
        <v>0</v>
      </c>
      <c r="EZ40" s="3">
        <f t="shared" si="111"/>
        <v>0</v>
      </c>
      <c r="FA40" s="3">
        <f t="shared" si="112"/>
        <v>0</v>
      </c>
      <c r="FB40" s="61">
        <f t="shared" si="113"/>
        <v>0</v>
      </c>
      <c r="FC40" s="3"/>
      <c r="FD40" s="60"/>
      <c r="FE40" s="3">
        <f t="shared" si="115"/>
        <v>0</v>
      </c>
      <c r="FF40" s="3">
        <f t="shared" si="116"/>
        <v>0</v>
      </c>
      <c r="FG40" s="3">
        <f t="shared" si="117"/>
        <v>0</v>
      </c>
      <c r="FH40" s="3">
        <f t="shared" si="118"/>
        <v>0</v>
      </c>
      <c r="FI40" s="61"/>
      <c r="FJ40" s="6"/>
      <c r="FK40" s="61"/>
      <c r="FL40" s="3"/>
      <c r="FM40" s="3"/>
      <c r="FN40" s="3"/>
      <c r="FO40" s="3" t="s">
        <v>153</v>
      </c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60"/>
      <c r="GB40" s="12" t="s">
        <v>145</v>
      </c>
      <c r="GC40" s="13"/>
      <c r="GD40" s="13"/>
      <c r="GE40" s="14"/>
      <c r="GF40" s="3"/>
      <c r="GG40" s="61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61"/>
      <c r="IM40" s="3"/>
      <c r="IN40" s="3"/>
      <c r="IO40" s="3"/>
      <c r="IP40" s="3"/>
      <c r="IQ40" s="3"/>
      <c r="IR40" s="3"/>
      <c r="IS40" s="3"/>
    </row>
    <row r="41" spans="1:253" ht="12" customHeight="1">
      <c r="A41" s="60"/>
      <c r="B41" s="6" t="s">
        <v>77</v>
      </c>
      <c r="C41" s="135">
        <f t="shared" si="114"/>
        <v>0</v>
      </c>
      <c r="D41" s="6"/>
      <c r="E41" s="63" t="s">
        <v>207</v>
      </c>
      <c r="F41" s="108"/>
      <c r="G41"/>
      <c r="H41" s="60" t="str">
        <f>AY2</f>
        <v>Ägirinaugit</v>
      </c>
      <c r="I41" s="260">
        <f>IF($Q$35="n","",IF(BB28="-","",BB28))</f>
      </c>
      <c r="J41" s="3">
        <f>IF(BA16=0,IF($X$23&lt;10,"x (T&lt;10)","x"),BA16)</f>
        <v>6</v>
      </c>
      <c r="K41" s="6"/>
      <c r="L41" s="3" t="str">
        <f>DB2</f>
        <v>Pargasit</v>
      </c>
      <c r="M41" s="260">
        <f>IF($Q$35="n","",IF(DE28="-","",DE28))</f>
      </c>
      <c r="N41" s="3">
        <f>IF(DD16=0,IF($X$23&lt;10,"x (&lt;10)","x"),DD16)</f>
        <v>5</v>
      </c>
      <c r="O41" s="6"/>
      <c r="P41" s="3" t="str">
        <f>FE2</f>
        <v>Rhipidolith</v>
      </c>
      <c r="Q41" s="260">
        <f>IF($Q$35="n","",IF(FH28="-","",FH28))</f>
      </c>
      <c r="R41" s="3">
        <f>IF(FG16=0,IF($X$23&lt;10,"x (&lt;10)","x"),FG16)</f>
        <v>4</v>
      </c>
      <c r="S41" s="6"/>
      <c r="T41" s="3" t="str">
        <f>HH2</f>
        <v>Saponit</v>
      </c>
      <c r="U41" s="263">
        <f>IF($Q$35="n","",IF(HK28="-","",HK28))</f>
      </c>
      <c r="V41" s="118">
        <f>IF(HJ16=0,IF($X$23&lt;10,"x (&lt;10)","x"),HJ16)</f>
        <v>4</v>
      </c>
      <c r="X41" s="210"/>
      <c r="Y41" s="213" t="s">
        <v>208</v>
      </c>
      <c r="Z41" s="214"/>
      <c r="AA41" s="214"/>
      <c r="AB41" s="214"/>
      <c r="AC41" s="214"/>
      <c r="AD41" s="214"/>
      <c r="AE41" s="214"/>
      <c r="AF41" s="214"/>
      <c r="AG41" s="211"/>
      <c r="AH41" s="211"/>
      <c r="AI41" s="211"/>
      <c r="AJ41" s="211"/>
      <c r="AK41" s="212"/>
      <c r="AL41" s="280"/>
      <c r="AM41" s="287" t="s">
        <v>209</v>
      </c>
      <c r="AN41" s="281"/>
      <c r="AO41" s="282"/>
      <c r="AP41" s="282"/>
      <c r="AQ41" s="282"/>
      <c r="AR41" s="280"/>
      <c r="AS41" s="280"/>
      <c r="AW41" s="10"/>
      <c r="AX41" s="97" t="e">
        <f>IF(F42="n",1,100/AX53)</f>
        <v>#DIV/0!</v>
      </c>
      <c r="AY41" s="19" t="e">
        <f>IF(F42="n",1,100/SUM(D6:D14))</f>
        <v>#DIV/0!</v>
      </c>
      <c r="AZ41" s="19" t="e">
        <f>IF(F42="n",1,100/SUM(E6:E14))</f>
        <v>#DIV/0!</v>
      </c>
      <c r="BA41" s="61"/>
      <c r="BB41" s="6"/>
      <c r="BC41" s="10"/>
      <c r="BD41" s="3"/>
      <c r="BE41" s="3" t="s">
        <v>210</v>
      </c>
      <c r="BF41" s="3"/>
      <c r="BG41" s="16" t="s">
        <v>79</v>
      </c>
      <c r="BH41" s="3"/>
      <c r="BI41" s="81">
        <f>39.098*2/(39.098*2+15.999)</f>
        <v>0.8301502202877011</v>
      </c>
      <c r="BJ41" s="36">
        <f>15.999/(39.098*2+15.999)</f>
        <v>0.16984977971229898</v>
      </c>
      <c r="BK41" s="3"/>
      <c r="BL41" s="6"/>
      <c r="BM41" s="10"/>
      <c r="BN41" s="3"/>
      <c r="BO41" s="3"/>
      <c r="BP41" s="3" t="s">
        <v>79</v>
      </c>
      <c r="BQ41" s="38" t="s">
        <v>184</v>
      </c>
      <c r="BR41" s="137">
        <f t="shared" si="119"/>
        <v>1</v>
      </c>
      <c r="BS41" s="39" t="s">
        <v>184</v>
      </c>
      <c r="BT41" s="141">
        <f t="shared" si="120"/>
        <v>1.5</v>
      </c>
      <c r="BU41" s="142" t="s">
        <v>184</v>
      </c>
      <c r="BV41" s="137">
        <f>EC40</f>
        <v>1.5</v>
      </c>
      <c r="BW41" s="143" t="s">
        <v>184</v>
      </c>
      <c r="BX41" s="137">
        <f>EH40</f>
        <v>1.5</v>
      </c>
      <c r="BY41" s="85"/>
      <c r="BZ41" s="85"/>
      <c r="CA41" s="85"/>
      <c r="CB41" s="85"/>
      <c r="CC41" s="6"/>
      <c r="CD41" s="10"/>
      <c r="CE41" s="3"/>
      <c r="CF41" s="3"/>
      <c r="CG41" s="16">
        <f>IF(J12="ja",0,IF(J12="-",0,1))</f>
        <v>0</v>
      </c>
      <c r="CH41" s="3"/>
      <c r="CI41" s="16">
        <f>IF(N12="ja",0,IF(N12="-",0,1))</f>
        <v>0</v>
      </c>
      <c r="CJ41" s="3"/>
      <c r="CK41" s="16">
        <f>IF(R12="ja",0,IF(R12="-",0,1))</f>
        <v>0</v>
      </c>
      <c r="CL41" s="3"/>
      <c r="CM41" s="16">
        <f>IF(V12="ja",0,IF(V12="-",0,1))</f>
        <v>0</v>
      </c>
      <c r="CN41" s="3"/>
      <c r="CO41" s="3"/>
      <c r="CP41" s="3"/>
      <c r="CQ41" s="3"/>
      <c r="CR41" s="6"/>
      <c r="CS41" s="10"/>
      <c r="CT41" s="3"/>
      <c r="CU41" s="3"/>
      <c r="CV41" s="3"/>
      <c r="CW41" s="3"/>
      <c r="CX41" s="3"/>
      <c r="CY41" s="3"/>
      <c r="CZ41" s="74" t="str">
        <f>CONCATENATE("  ",H43)</f>
        <v>  Augit (Al)</v>
      </c>
      <c r="DA41" s="20"/>
      <c r="DB41" s="72">
        <v>3.4</v>
      </c>
      <c r="DC41" s="71"/>
      <c r="DD41" s="70" t="str">
        <f>CONCATENATE("  ",L43)</f>
        <v>  Basalt. Hornbl.</v>
      </c>
      <c r="DE41" s="20"/>
      <c r="DF41" s="72">
        <v>3.2</v>
      </c>
      <c r="DG41" s="71"/>
      <c r="DH41" s="70" t="str">
        <f>CONCATENATE("  ",P43)</f>
        <v>  Aphrosiderit</v>
      </c>
      <c r="DI41" s="20"/>
      <c r="DJ41" s="72">
        <v>3.1</v>
      </c>
      <c r="DK41" s="71"/>
      <c r="DL41" s="70" t="str">
        <f>CONCATENATE("  ",T43)</f>
        <v>  Zoisit</v>
      </c>
      <c r="DM41" s="20"/>
      <c r="DN41" s="73">
        <v>3.3</v>
      </c>
      <c r="DO41" s="6"/>
      <c r="DP41" s="60"/>
      <c r="DQ41" s="16" t="str">
        <f t="shared" si="109"/>
        <v>Ca</v>
      </c>
      <c r="DR41" s="56">
        <v>-1E-05</v>
      </c>
      <c r="DS41" s="33">
        <v>3.5</v>
      </c>
      <c r="DT41" s="52">
        <f>IF($C$43&gt;DR41,IF($C$43&lt;DS41,0,1),1)</f>
        <v>1</v>
      </c>
      <c r="DU41" s="52">
        <f>IF($C$43&gt;(DR41-DR41/100*$M$35),IF($C$43&lt;(DS41+DS41/100*$M$35),0,1),1)</f>
        <v>1</v>
      </c>
      <c r="DV41" s="29">
        <f>IF($C$43&gt;(DR41-DR41/100*$FF$34),IF($C$43&lt;(DS41+DS41/100*$FF$34),0,1),1)</f>
        <v>1</v>
      </c>
      <c r="DW41" s="56">
        <v>-1E-05</v>
      </c>
      <c r="DX41" s="33">
        <v>3.5</v>
      </c>
      <c r="DY41" s="52">
        <f>IF($C$43&gt;DW41,IF($C$43&lt;DX41,0,1),1)</f>
        <v>1</v>
      </c>
      <c r="DZ41" s="52">
        <f>IF($C$43&gt;(DW41-DW41/100*$M$35),IF($C$43&lt;(DX41+DX41/100*$M$35),0,1),1)</f>
        <v>1</v>
      </c>
      <c r="EA41" s="29">
        <f>IF($C$43&gt;(DW41-DW41/100*$FF$34),IF($C$43&lt;(DX41+DX41/100*$FF$34),0,1),1)</f>
        <v>1</v>
      </c>
      <c r="EB41" s="56">
        <v>5</v>
      </c>
      <c r="EC41" s="33">
        <v>13</v>
      </c>
      <c r="ED41" s="52">
        <f>IF($C$43&gt;EB41,IF($C$43&lt;EC41,0,1),1)</f>
        <v>0</v>
      </c>
      <c r="EE41" s="52">
        <f>IF($C$43&gt;(EB41-EB41/100*$M$35),IF($C$43&lt;(EC41+EC41/100*$M$35),0,1),1)</f>
        <v>0</v>
      </c>
      <c r="EF41" s="29">
        <f>IF($C$43&gt;(EB41-EB41/100*$FF$34),IF($C$43&lt;(EC41+EC41/100*$FF$34),0,1),1)</f>
        <v>0</v>
      </c>
      <c r="EG41" s="56">
        <v>5</v>
      </c>
      <c r="EH41" s="33">
        <v>12.5</v>
      </c>
      <c r="EI41" s="52">
        <f>IF($C$43&gt;EG41,IF($C$43&lt;EH41,0,1),1)</f>
        <v>0</v>
      </c>
      <c r="EJ41" s="52">
        <f>IF($C$43&gt;(EG41-EG41/100*$M$35),IF($C$43&lt;(EH41+EH41/100*$M$35),0,1),1)</f>
        <v>0</v>
      </c>
      <c r="EK41" s="29">
        <f>IF($C$43&gt;(EG41-EG41/100*$FF$34),IF($C$43&lt;(EH41+EH41/100*$FF$34),0,1),1)</f>
        <v>0</v>
      </c>
      <c r="EL41" s="56">
        <v>-1E-05</v>
      </c>
      <c r="EM41" s="33">
        <v>3.5</v>
      </c>
      <c r="EN41" s="52">
        <f>IF($C$43&gt;EL41,IF($C$43&lt;EM41,0,1),1)</f>
        <v>1</v>
      </c>
      <c r="EO41" s="52">
        <f>IF($C$43&gt;(EL41-EL41/100*$M$35),IF($C$43&lt;(EM41+EM41/100*$M$35),0,1),1)</f>
        <v>1</v>
      </c>
      <c r="EP41" s="29">
        <f>IF($C$43&gt;(EL41-EL41/100*$FF$34),IF($C$43&lt;(EM41+EM41/100*$FF$34),0,1),1)</f>
        <v>1</v>
      </c>
      <c r="EQ41" s="56">
        <v>-1E-05</v>
      </c>
      <c r="ER41" s="33">
        <v>3.5</v>
      </c>
      <c r="ES41" s="52">
        <f>IF($C$43&gt;EQ41,IF($C$43&lt;ER41,0,1),1)</f>
        <v>1</v>
      </c>
      <c r="ET41" s="52">
        <f>IF($C$43&gt;(EQ41-EQ41/100*$M$35),IF($C$43&lt;(ER41+ER41/100*$M$35),0,1),1)</f>
        <v>1</v>
      </c>
      <c r="EU41" s="29">
        <f>IF($C$43&gt;(EQ41-EQ41/100*$FF$34),IF($C$43&lt;(ER41+ER41/100*$FF$34),0,1),1)</f>
        <v>1</v>
      </c>
      <c r="EV41" s="61"/>
      <c r="EW41" s="60"/>
      <c r="EX41" s="10"/>
      <c r="EY41" s="60">
        <f>IF(J41="x",1,0)</f>
        <v>0</v>
      </c>
      <c r="EZ41" s="3">
        <f>IF(N41="x",1,0)</f>
        <v>0</v>
      </c>
      <c r="FA41" s="3">
        <f>IF(R41="x",1,0)</f>
        <v>0</v>
      </c>
      <c r="FB41" s="61">
        <f>IF(V41="x",1,0)</f>
        <v>0</v>
      </c>
      <c r="FC41" s="3"/>
      <c r="FD41" s="60"/>
      <c r="FE41" s="3">
        <f>IF(J38="x",1,0)</f>
        <v>0</v>
      </c>
      <c r="FF41" s="3">
        <f>IF(N38="x",1,0)</f>
        <v>0</v>
      </c>
      <c r="FG41" s="3">
        <f>IF(R38="x",1,0)</f>
        <v>0</v>
      </c>
      <c r="FH41" s="3">
        <f>IF(V38="x",1,0)</f>
        <v>0</v>
      </c>
      <c r="FI41" s="61"/>
      <c r="FJ41" s="6"/>
      <c r="FK41" s="61"/>
      <c r="FL41" s="3"/>
      <c r="FM41" s="3"/>
      <c r="FN41" s="3"/>
      <c r="FO41" s="3" t="s">
        <v>211</v>
      </c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60"/>
      <c r="GB41" s="9">
        <f>IF(M35&lt;1,0,M35-1)</f>
        <v>0</v>
      </c>
      <c r="GC41" s="8"/>
      <c r="GD41" s="8"/>
      <c r="GE41" s="7"/>
      <c r="GF41" s="3"/>
      <c r="GG41" s="61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61"/>
      <c r="IM41" s="3"/>
      <c r="IN41" s="3"/>
      <c r="IO41" s="3"/>
      <c r="IP41" s="3"/>
      <c r="IQ41" s="3"/>
      <c r="IR41" s="3"/>
      <c r="IS41" s="3"/>
    </row>
    <row r="42" spans="1:253" ht="12" customHeight="1">
      <c r="A42" s="60"/>
      <c r="B42" s="6" t="s">
        <v>79</v>
      </c>
      <c r="C42" s="135">
        <f t="shared" si="114"/>
        <v>0</v>
      </c>
      <c r="D42" s="6"/>
      <c r="E42" s="10" t="s">
        <v>212</v>
      </c>
      <c r="F42" s="174" t="s">
        <v>213</v>
      </c>
      <c r="G42"/>
      <c r="H42" s="60" t="str">
        <f>BD2</f>
        <v>Augit</v>
      </c>
      <c r="I42" s="260">
        <f>IF($Q$35="n","",IF(BG28="-","",BG28))</f>
      </c>
      <c r="J42" s="3">
        <f>IF(BF16=0,IF($X$23&lt;10,"x (T&lt;10)","x"),BF16)</f>
        <v>5</v>
      </c>
      <c r="K42" s="6"/>
      <c r="L42" s="3" t="str">
        <f>DG2</f>
        <v>Hastingsit</v>
      </c>
      <c r="M42" s="260">
        <f>IF($Q$35="n","",IF(DJ28="-","",DJ28))</f>
      </c>
      <c r="N42" s="3">
        <f>IF(DI16=0,IF($X$23&lt;10,"x (&lt;10)","x"),DI16)</f>
        <v>5</v>
      </c>
      <c r="O42" s="6"/>
      <c r="P42" s="3" t="str">
        <f>FJ2</f>
        <v>Brunsvigit</v>
      </c>
      <c r="Q42" s="260">
        <f>IF($Q$35="n","",IF(FM28="-","",FM28))</f>
      </c>
      <c r="R42" s="3">
        <f>IF(FL16=0,IF($X$23&lt;10,"x (&lt;10)","x"),FL16)</f>
        <v>5</v>
      </c>
      <c r="S42" s="6"/>
      <c r="T42" s="3" t="str">
        <f>HM2</f>
        <v>Epidot</v>
      </c>
      <c r="U42" s="263">
        <f>IF($Q$35="n","",IF(HP28="-","",HP28))</f>
      </c>
      <c r="V42" s="118">
        <f>IF(HO16=0,IF($X$23&lt;10,"x (&lt;10)","x"),HO16)</f>
        <v>5</v>
      </c>
      <c r="X42" s="210"/>
      <c r="Y42" s="239" t="s">
        <v>214</v>
      </c>
      <c r="Z42" s="240" t="s">
        <v>215</v>
      </c>
      <c r="AA42" s="215"/>
      <c r="AB42" s="215"/>
      <c r="AC42" s="215"/>
      <c r="AD42" s="215"/>
      <c r="AE42" s="217"/>
      <c r="AF42" s="217"/>
      <c r="AG42" s="217"/>
      <c r="AH42" s="217"/>
      <c r="AI42" s="217"/>
      <c r="AJ42" s="217"/>
      <c r="AK42" s="212"/>
      <c r="AL42" s="280"/>
      <c r="AM42" s="287" t="s">
        <v>216</v>
      </c>
      <c r="AN42" s="281"/>
      <c r="AO42" s="282"/>
      <c r="AP42" s="282"/>
      <c r="AQ42" s="282"/>
      <c r="AR42" s="280"/>
      <c r="AS42" s="280"/>
      <c r="AW42" s="10"/>
      <c r="AX42" s="97">
        <f>IF(F42="n",1,100/SUM(C18:C28))</f>
        <v>1.027643613194944</v>
      </c>
      <c r="AY42" s="3"/>
      <c r="AZ42" s="3"/>
      <c r="BA42" s="61"/>
      <c r="BB42" s="199"/>
      <c r="BC42" s="10"/>
      <c r="BD42" s="3"/>
      <c r="BE42" s="3" t="s">
        <v>114</v>
      </c>
      <c r="BF42" s="3"/>
      <c r="BG42" s="16" t="s">
        <v>81</v>
      </c>
      <c r="BH42" s="3"/>
      <c r="BI42" s="81">
        <f>40.078/(40.078+15.999)</f>
        <v>0.7146958646147261</v>
      </c>
      <c r="BJ42" s="36">
        <f>15.999/(40.078+15.999)</f>
        <v>0.2853041353852738</v>
      </c>
      <c r="BK42" s="3"/>
      <c r="BL42" s="6"/>
      <c r="BM42" s="10"/>
      <c r="BN42" s="3"/>
      <c r="BO42" s="3"/>
      <c r="BP42" s="3" t="s">
        <v>81</v>
      </c>
      <c r="BQ42" s="38" t="s">
        <v>184</v>
      </c>
      <c r="BR42" s="137">
        <f t="shared" si="119"/>
        <v>3.5</v>
      </c>
      <c r="BS42" s="39" t="s">
        <v>184</v>
      </c>
      <c r="BT42" s="141">
        <f t="shared" si="120"/>
        <v>3.5</v>
      </c>
      <c r="BU42" s="142" t="s">
        <v>190</v>
      </c>
      <c r="BV42" s="137">
        <f>EB41</f>
        <v>5</v>
      </c>
      <c r="BW42" s="143" t="s">
        <v>190</v>
      </c>
      <c r="BX42" s="137">
        <f>EG41</f>
        <v>5</v>
      </c>
      <c r="BY42" s="85"/>
      <c r="BZ42" s="85"/>
      <c r="CA42" s="85"/>
      <c r="CB42" s="85"/>
      <c r="CC42" s="6"/>
      <c r="CD42" s="10"/>
      <c r="CE42" s="3"/>
      <c r="CF42" s="3"/>
      <c r="CG42" s="16">
        <f t="shared" si="105"/>
        <v>0</v>
      </c>
      <c r="CH42" s="3"/>
      <c r="CI42" s="16">
        <f t="shared" si="106"/>
        <v>0</v>
      </c>
      <c r="CJ42" s="3"/>
      <c r="CK42" s="16">
        <f t="shared" si="107"/>
        <v>0</v>
      </c>
      <c r="CL42" s="3"/>
      <c r="CM42" s="16">
        <f t="shared" si="108"/>
        <v>0</v>
      </c>
      <c r="CN42" s="3"/>
      <c r="CO42" s="3"/>
      <c r="CP42" s="3"/>
      <c r="CQ42" s="3"/>
      <c r="CR42" s="6"/>
      <c r="CS42" s="10"/>
      <c r="CT42" s="3"/>
      <c r="CU42" s="3"/>
      <c r="CV42" s="3"/>
      <c r="CW42" s="3"/>
      <c r="CX42" s="3"/>
      <c r="CY42" s="3"/>
      <c r="CZ42" s="70" t="str">
        <f t="shared" si="101"/>
        <v>  Pigeonitaugit</v>
      </c>
      <c r="DA42" s="67"/>
      <c r="DB42" s="68">
        <v>3.4</v>
      </c>
      <c r="DC42" s="66"/>
      <c r="DD42" s="63" t="str">
        <f t="shared" si="102"/>
        <v>  Kaersutit</v>
      </c>
      <c r="DE42" s="67"/>
      <c r="DF42" s="68">
        <v>3.2</v>
      </c>
      <c r="DG42" s="66"/>
      <c r="DH42" s="63" t="str">
        <f t="shared" si="103"/>
        <v>  Talk</v>
      </c>
      <c r="DI42" s="67"/>
      <c r="DJ42" s="68">
        <v>2.8</v>
      </c>
      <c r="DK42" s="66"/>
      <c r="DL42" s="63" t="str">
        <f t="shared" si="104"/>
        <v>  Prehnit</v>
      </c>
      <c r="DM42" s="67"/>
      <c r="DN42" s="69">
        <v>2.9</v>
      </c>
      <c r="DO42" s="6"/>
      <c r="DP42" s="60"/>
      <c r="DQ42" s="16" t="str">
        <f t="shared" si="109"/>
        <v>Mn</v>
      </c>
      <c r="DR42" s="56">
        <v>-1E-05</v>
      </c>
      <c r="DS42" s="33">
        <v>1</v>
      </c>
      <c r="DT42" s="52">
        <f>IF($C$44&gt;DR42,IF($C$44&lt;DS42,0,1),1)</f>
        <v>0</v>
      </c>
      <c r="DU42" s="52">
        <f>IF($C$44&gt;(DR42-DR42/100*$M$35),IF($C$44&lt;(DS42+DS42/100*$M$35),0,1),1)</f>
        <v>0</v>
      </c>
      <c r="DV42" s="29">
        <f>IF($C$44&gt;(DR42-DR42/100*$FF$34),IF($C$44&lt;(DS42+DS42/100*$FF$34),0,1),1)</f>
        <v>0</v>
      </c>
      <c r="DW42" s="56">
        <v>-1E-05</v>
      </c>
      <c r="DX42" s="33">
        <v>1.5</v>
      </c>
      <c r="DY42" s="52">
        <f>IF($C$44&gt;DW42,IF($C$44&lt;DX42,0,1),1)</f>
        <v>0</v>
      </c>
      <c r="DZ42" s="52">
        <f>IF($C$44&gt;(DW42-DW42/100*$M$35),IF($C$44&lt;(DX42+DX42/100*$M$35),0,1),1)</f>
        <v>0</v>
      </c>
      <c r="EA42" s="29">
        <f>IF($C$44&gt;(DW42-DW42/100*$FF$34),IF($C$44&lt;(DX42+DX42/100*$FF$34),0,1),1)</f>
        <v>0</v>
      </c>
      <c r="EB42" s="56">
        <v>-1E-05</v>
      </c>
      <c r="EC42" s="33">
        <v>1</v>
      </c>
      <c r="ED42" s="52">
        <f>IF($C$44&gt;EB42,IF($C$44&lt;EC42,0,1),1)</f>
        <v>0</v>
      </c>
      <c r="EE42" s="52">
        <f>IF($C$44&gt;(EB42-EB42/100*$M$35),IF($C$44&lt;(EC42+EC42/100*$M$35),0,1),1)</f>
        <v>0</v>
      </c>
      <c r="EF42" s="29">
        <f>IF($C$44&gt;(EB42-EB42/100*$FF$34),IF($C$44&lt;(EC42+EC42/100*$FF$34),0,1),1)</f>
        <v>0</v>
      </c>
      <c r="EG42" s="56">
        <v>-1E-05</v>
      </c>
      <c r="EH42" s="33">
        <v>1</v>
      </c>
      <c r="EI42" s="52">
        <f>IF($C$44&gt;EG42,IF($C$44&lt;EH42,0,1),1)</f>
        <v>0</v>
      </c>
      <c r="EJ42" s="52">
        <f>IF($C$44&gt;(EG42-EG42/100*$M$35),IF($C$44&lt;(EH42+EH42/100*$M$35),0,1),1)</f>
        <v>0</v>
      </c>
      <c r="EK42" s="29">
        <f>IF($C$44&gt;(EG42-EG42/100*$FF$34),IF($C$44&lt;(EH42+EH42/100*$FF$34),0,1),1)</f>
        <v>0</v>
      </c>
      <c r="EL42" s="56">
        <v>-1E-05</v>
      </c>
      <c r="EM42" s="33">
        <v>1.5</v>
      </c>
      <c r="EN42" s="52">
        <f>IF($C$44&gt;EL42,IF($C$44&lt;EM42,0,1),1)</f>
        <v>0</v>
      </c>
      <c r="EO42" s="52">
        <f>IF($C$44&gt;(EL42-EL42/100*$M$35),IF($C$44&lt;(EM42+EM42/100*$M$35),0,1),1)</f>
        <v>0</v>
      </c>
      <c r="EP42" s="29">
        <f>IF($C$44&gt;(EL42-EL42/100*$FF$34),IF($C$44&lt;(EM42+EM42/100*$FF$34),0,1),1)</f>
        <v>0</v>
      </c>
      <c r="EQ42" s="56">
        <v>-1E-05</v>
      </c>
      <c r="ER42" s="33">
        <v>1</v>
      </c>
      <c r="ES42" s="52">
        <f>IF($C$44&gt;EQ42,IF($C$44&lt;ER42,0,1),1)</f>
        <v>0</v>
      </c>
      <c r="ET42" s="52">
        <f>IF($C$44&gt;(EQ42-EQ42/100*$M$35),IF($C$44&lt;(ER42+ER42/100*$M$35),0,1),1)</f>
        <v>0</v>
      </c>
      <c r="EU42" s="29">
        <f>IF($C$44&gt;(EQ42-EQ42/100*$FF$34),IF($C$44&lt;(ER42+ER42/100*$FF$34),0,1),1)</f>
        <v>0</v>
      </c>
      <c r="EV42" s="61"/>
      <c r="EW42" s="60"/>
      <c r="EX42" s="10"/>
      <c r="EY42" s="60">
        <f t="shared" si="110"/>
        <v>0</v>
      </c>
      <c r="EZ42" s="3">
        <f t="shared" si="111"/>
        <v>0</v>
      </c>
      <c r="FA42" s="3">
        <f t="shared" si="112"/>
        <v>0</v>
      </c>
      <c r="FB42" s="61">
        <f t="shared" si="113"/>
        <v>0</v>
      </c>
      <c r="FC42" s="3"/>
      <c r="FD42" s="60"/>
      <c r="FE42" s="3">
        <f t="shared" si="115"/>
        <v>0</v>
      </c>
      <c r="FF42" s="3">
        <f t="shared" si="116"/>
        <v>0</v>
      </c>
      <c r="FG42" s="3">
        <f t="shared" si="117"/>
        <v>0</v>
      </c>
      <c r="FH42" s="3">
        <f t="shared" si="118"/>
        <v>0</v>
      </c>
      <c r="FI42" s="61"/>
      <c r="FJ42" s="6"/>
      <c r="FK42" s="61"/>
      <c r="FL42" s="3"/>
      <c r="FM42" s="3" t="s">
        <v>181</v>
      </c>
      <c r="FN42" s="3"/>
      <c r="FO42" s="3" t="s">
        <v>182</v>
      </c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60"/>
      <c r="GB42" s="3"/>
      <c r="GC42" s="3"/>
      <c r="GD42" s="3"/>
      <c r="GE42" s="3"/>
      <c r="GF42" s="3"/>
      <c r="GG42" s="61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61"/>
      <c r="IM42" s="3"/>
      <c r="IN42" s="3"/>
      <c r="IO42" s="3"/>
      <c r="IP42" s="3"/>
      <c r="IQ42" s="3"/>
      <c r="IR42" s="3"/>
      <c r="IS42" s="3"/>
    </row>
    <row r="43" spans="1:253" ht="12" customHeight="1" thickBot="1">
      <c r="A43" s="60"/>
      <c r="B43" s="6" t="s">
        <v>81</v>
      </c>
      <c r="C43" s="135">
        <f t="shared" si="114"/>
        <v>9.650707698116845</v>
      </c>
      <c r="D43" s="6"/>
      <c r="E43" s="10" t="s">
        <v>217</v>
      </c>
      <c r="F43" s="61"/>
      <c r="G43"/>
      <c r="H43" s="60" t="str">
        <f>BI2</f>
        <v>Augit (Al)</v>
      </c>
      <c r="I43" s="260">
        <f>IF($Q$35="n","",IF(BL28="-","",BL28))</f>
      </c>
      <c r="J43" s="3">
        <f>IF(BK16=0,IF($X$23&lt;10,"x (T&lt;10)","x"),BK16)</f>
        <v>5</v>
      </c>
      <c r="K43" s="6"/>
      <c r="L43" s="3" t="str">
        <f>DL2</f>
        <v>Basalt. Hornbl.</v>
      </c>
      <c r="M43" s="260">
        <f>IF($Q$35="n","",IF(DO28="-","",DO28))</f>
      </c>
      <c r="N43" s="3">
        <f>IF(DN16=0,IF($X$23&lt;10,"x (&lt;10)","x"),DN16)</f>
        <v>5</v>
      </c>
      <c r="O43" s="6"/>
      <c r="P43" s="3" t="str">
        <f>FO2</f>
        <v>Aphrosiderit</v>
      </c>
      <c r="Q43" s="260">
        <f>IF($Q$35="n","",IF(FR28="-","",FR28))</f>
      </c>
      <c r="R43" s="3">
        <f>IF(FQ16=0,IF($X$23&lt;10,"x (&lt;10)","x"),FQ16)</f>
        <v>5</v>
      </c>
      <c r="S43" s="6"/>
      <c r="T43" s="3" t="str">
        <f>HR2</f>
        <v>Zoisit</v>
      </c>
      <c r="U43" s="263">
        <f>IF($Q$35="n","",IF(HU28="-","",HU28))</f>
      </c>
      <c r="V43" s="118">
        <f>IF(HT16=0,IF($X$23&lt;10,"x (&lt;10)","x"),HT16)</f>
        <v>4</v>
      </c>
      <c r="X43" s="210"/>
      <c r="Y43" s="215" t="s">
        <v>218</v>
      </c>
      <c r="Z43" s="216" t="s">
        <v>219</v>
      </c>
      <c r="AA43" s="215"/>
      <c r="AB43" s="215"/>
      <c r="AC43" s="215"/>
      <c r="AD43" s="215"/>
      <c r="AE43" s="217"/>
      <c r="AF43" s="217"/>
      <c r="AG43" s="217"/>
      <c r="AH43" s="217"/>
      <c r="AI43" s="217"/>
      <c r="AJ43" s="217"/>
      <c r="AK43" s="212"/>
      <c r="AL43" s="280"/>
      <c r="AM43" s="280"/>
      <c r="AN43" s="280"/>
      <c r="AO43" s="280"/>
      <c r="AP43" s="280"/>
      <c r="AQ43" s="280"/>
      <c r="AR43" s="280"/>
      <c r="AS43" s="280"/>
      <c r="AW43" s="10"/>
      <c r="AX43" s="4" t="s">
        <v>220</v>
      </c>
      <c r="AY43" s="5"/>
      <c r="AZ43" s="5"/>
      <c r="BA43" s="98">
        <f>SUM(C37:C46)</f>
        <v>53.672063721665594</v>
      </c>
      <c r="BB43" s="6"/>
      <c r="BC43" s="10"/>
      <c r="BD43" s="3"/>
      <c r="BE43" s="3" t="s">
        <v>116</v>
      </c>
      <c r="BF43" s="3"/>
      <c r="BG43" s="16" t="s">
        <v>83</v>
      </c>
      <c r="BH43" s="3"/>
      <c r="BI43" s="81">
        <f>54.938/(54.938+15.999)</f>
        <v>0.7744618464271115</v>
      </c>
      <c r="BJ43" s="36">
        <f>15.999/(54.938+15.999)</f>
        <v>0.22553815357288864</v>
      </c>
      <c r="BK43" s="3"/>
      <c r="BL43" s="6"/>
      <c r="BM43" s="10"/>
      <c r="BN43" s="3"/>
      <c r="BO43" s="3"/>
      <c r="BP43" s="3" t="s">
        <v>83</v>
      </c>
      <c r="BQ43" s="38" t="s">
        <v>184</v>
      </c>
      <c r="BR43" s="137">
        <f t="shared" si="119"/>
        <v>1</v>
      </c>
      <c r="BS43" s="39" t="s">
        <v>184</v>
      </c>
      <c r="BT43" s="141">
        <f t="shared" si="120"/>
        <v>1.5</v>
      </c>
      <c r="BU43" s="142" t="s">
        <v>184</v>
      </c>
      <c r="BV43" s="137">
        <f>EC42</f>
        <v>1</v>
      </c>
      <c r="BW43" s="143" t="s">
        <v>184</v>
      </c>
      <c r="BX43" s="137">
        <f>EH42</f>
        <v>1</v>
      </c>
      <c r="BY43" s="85"/>
      <c r="BZ43" s="85"/>
      <c r="CA43" s="85"/>
      <c r="CB43" s="85"/>
      <c r="CC43" s="6"/>
      <c r="CD43" s="10"/>
      <c r="CE43" s="3"/>
      <c r="CF43" s="3"/>
      <c r="CG43" s="16">
        <f t="shared" si="105"/>
        <v>0</v>
      </c>
      <c r="CH43" s="3"/>
      <c r="CI43" s="16">
        <f t="shared" si="106"/>
        <v>0</v>
      </c>
      <c r="CJ43" s="3"/>
      <c r="CK43" s="16">
        <f t="shared" si="107"/>
        <v>0</v>
      </c>
      <c r="CL43" s="3"/>
      <c r="CM43" s="16">
        <f t="shared" si="108"/>
        <v>0</v>
      </c>
      <c r="CN43" s="3"/>
      <c r="CO43" s="3"/>
      <c r="CP43" s="3"/>
      <c r="CQ43" s="3"/>
      <c r="CR43" s="6"/>
      <c r="CS43" s="10"/>
      <c r="CT43" s="3"/>
      <c r="CU43" s="3"/>
      <c r="CV43" s="3"/>
      <c r="CW43" s="3"/>
      <c r="CX43" s="3"/>
      <c r="CY43" s="3"/>
      <c r="CZ43" s="70" t="str">
        <f t="shared" si="101"/>
        <v>  Pigeonitaugit (Fe)</v>
      </c>
      <c r="DA43" s="20"/>
      <c r="DB43" s="72">
        <v>3.5</v>
      </c>
      <c r="DC43" s="71"/>
      <c r="DD43" s="10" t="str">
        <f t="shared" si="102"/>
        <v>  Tschermakit</v>
      </c>
      <c r="DE43" s="3"/>
      <c r="DF43" s="72">
        <v>3.2</v>
      </c>
      <c r="DG43" s="6"/>
      <c r="DH43" s="10" t="str">
        <f t="shared" si="103"/>
        <v>  Muskovit</v>
      </c>
      <c r="DI43" s="3"/>
      <c r="DJ43" s="72">
        <v>2.8</v>
      </c>
      <c r="DK43" s="6"/>
      <c r="DL43" s="10" t="str">
        <f t="shared" si="104"/>
        <v>  Pumpellyit</v>
      </c>
      <c r="DM43" s="3"/>
      <c r="DN43" s="73">
        <v>3.2</v>
      </c>
      <c r="DO43" s="6"/>
      <c r="DP43" s="60"/>
      <c r="DQ43" s="16" t="str">
        <f t="shared" si="109"/>
        <v>Fe</v>
      </c>
      <c r="DR43" s="56">
        <v>-1E-05</v>
      </c>
      <c r="DS43" s="33">
        <v>6</v>
      </c>
      <c r="DT43" s="52">
        <f>IF($C$45&gt;DR43,IF($C$45&lt;DS43,0,1),1)</f>
        <v>0</v>
      </c>
      <c r="DU43" s="52">
        <f>IF($C$45&gt;(DR43-DR43/100*$M$35),IF($C$45&lt;(DS43+DS43/100*$M$35),0,1),1)</f>
        <v>0</v>
      </c>
      <c r="DV43" s="29">
        <f>IF($C$45&gt;(DR43-DR43/100*$FF$34),IF($C$45&lt;(DS43+DS43/100*$FF$34),0,1),1)</f>
        <v>0</v>
      </c>
      <c r="DW43" s="56">
        <v>3</v>
      </c>
      <c r="DX43" s="33">
        <v>17</v>
      </c>
      <c r="DY43" s="52">
        <f>IF($C$45&gt;DW43,IF($C$45&lt;DX43,0,1),1)</f>
        <v>1</v>
      </c>
      <c r="DZ43" s="52">
        <f>IF($C$45&gt;(DW43-DW43/100*$M$35),IF($C$45&lt;(DX43+DX43/100*$M$35),0,1),1)</f>
        <v>1</v>
      </c>
      <c r="EA43" s="29">
        <f>IF($C$45&gt;(DW43-DW43/100*$FF$34),IF($C$45&lt;(DX43+DX43/100*$FF$34),0,1),1)</f>
        <v>1</v>
      </c>
      <c r="EB43" s="56">
        <v>-1E-05</v>
      </c>
      <c r="EC43" s="33">
        <v>6</v>
      </c>
      <c r="ED43" s="52">
        <f>IF($C$45&gt;EB43,IF($C$45&lt;EC43,0,1),1)</f>
        <v>0</v>
      </c>
      <c r="EE43" s="52">
        <f>IF($C$45&gt;(EB43-EB43/100*$M$35),IF($C$45&lt;(EC43+EC43/100*$M$35),0,1),1)</f>
        <v>0</v>
      </c>
      <c r="EF43" s="29">
        <f>IF($C$45&gt;(EB43-EB43/100*$FF$34),IF($C$45&lt;(EC43+EC43/100*$FF$34),0,1),1)</f>
        <v>0</v>
      </c>
      <c r="EG43" s="56">
        <v>5</v>
      </c>
      <c r="EH43" s="33">
        <v>22.5</v>
      </c>
      <c r="EI43" s="52">
        <f>IF($C$45&gt;EG43,IF($C$45&lt;EH43,0,1),1)</f>
        <v>1</v>
      </c>
      <c r="EJ43" s="52">
        <f>IF($C$45&gt;(EG43-EG43/100*$M$35),IF($C$45&lt;(EH43+EH43/100*$M$35),0,1),1)</f>
        <v>1</v>
      </c>
      <c r="EK43" s="29">
        <f>IF($C$45&gt;(EG43-EG43/100*$FF$34),IF($C$45&lt;(EH43+EH43/100*$FF$34),0,1),1)</f>
        <v>1</v>
      </c>
      <c r="EL43" s="56">
        <v>15</v>
      </c>
      <c r="EM43" s="33">
        <v>38</v>
      </c>
      <c r="EN43" s="52">
        <f>IF($C$45&gt;EL43,IF($C$45&lt;EM43,0,1),1)</f>
        <v>1</v>
      </c>
      <c r="EO43" s="52">
        <f>IF($C$45&gt;(EL43-EL43/100*$M$35),IF($C$45&lt;(EM43+EM43/100*$M$35),0,1),1)</f>
        <v>1</v>
      </c>
      <c r="EP43" s="29">
        <f>IF($C$45&gt;(EL43-EL43/100*$FF$34),IF($C$45&lt;(EM43+EM43/100*$FF$34),0,1),1)</f>
        <v>1</v>
      </c>
      <c r="EQ43" s="56">
        <v>10</v>
      </c>
      <c r="ER43" s="33">
        <v>33</v>
      </c>
      <c r="ES43" s="52">
        <f>IF($C$45&gt;EQ43,IF($C$45&lt;ER43,0,1),1)</f>
        <v>1</v>
      </c>
      <c r="ET43" s="52">
        <f>IF($C$45&gt;(EQ43-EQ43/100*$M$35),IF($C$45&lt;(ER43+ER43/100*$M$35),0,1),1)</f>
        <v>1</v>
      </c>
      <c r="EU43" s="29">
        <f>IF($C$45&gt;(EQ43-EQ43/100*$FF$34),IF($C$45&lt;(ER43+ER43/100*$FF$34),0,1),1)</f>
        <v>1</v>
      </c>
      <c r="EV43" s="61"/>
      <c r="EW43" s="60"/>
      <c r="EX43" s="10"/>
      <c r="EY43" s="60">
        <f t="shared" si="110"/>
        <v>0</v>
      </c>
      <c r="EZ43" s="3">
        <f t="shared" si="111"/>
        <v>0</v>
      </c>
      <c r="FA43" s="3">
        <f t="shared" si="112"/>
        <v>0</v>
      </c>
      <c r="FB43" s="61">
        <f t="shared" si="113"/>
        <v>0</v>
      </c>
      <c r="FC43" s="3"/>
      <c r="FD43" s="60"/>
      <c r="FE43" s="3">
        <f t="shared" si="115"/>
        <v>0</v>
      </c>
      <c r="FF43" s="3">
        <f t="shared" si="116"/>
        <v>0</v>
      </c>
      <c r="FG43" s="3">
        <f t="shared" si="117"/>
        <v>0</v>
      </c>
      <c r="FH43" s="3">
        <f t="shared" si="118"/>
        <v>0</v>
      </c>
      <c r="FI43" s="61"/>
      <c r="FJ43" s="6"/>
      <c r="FK43" s="61"/>
      <c r="FL43" s="3"/>
      <c r="FM43" s="3"/>
      <c r="FN43" s="3"/>
      <c r="FO43" s="3" t="s">
        <v>189</v>
      </c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60"/>
      <c r="GB43" s="3"/>
      <c r="GC43" s="3"/>
      <c r="GD43" s="3"/>
      <c r="GE43" s="3"/>
      <c r="GF43" s="3"/>
      <c r="GG43" s="61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61"/>
      <c r="IM43" s="3"/>
      <c r="IN43" s="3"/>
      <c r="IO43" s="3"/>
      <c r="IP43" s="3"/>
      <c r="IQ43" s="3"/>
      <c r="IR43" s="3"/>
      <c r="IS43" s="3"/>
    </row>
    <row r="44" spans="1:253" ht="12" customHeight="1">
      <c r="A44" s="60"/>
      <c r="B44" s="6" t="s">
        <v>83</v>
      </c>
      <c r="C44" s="135">
        <f t="shared" si="114"/>
        <v>0</v>
      </c>
      <c r="D44" s="6"/>
      <c r="E44" s="10" t="str">
        <f>IF(F42="n","bzw. Peakhöhen oder","bzw. Peakhöhen, -intens.")</f>
        <v>bzw. Peakhöhen, -intens.</v>
      </c>
      <c r="F44" s="61"/>
      <c r="G44"/>
      <c r="H44" s="60" t="str">
        <f>BN2</f>
        <v>Pigeonitaugit</v>
      </c>
      <c r="I44" s="260">
        <f>IF($Q$35="n","",IF(BQ28="-","",BQ28))</f>
      </c>
      <c r="J44" s="3">
        <f>IF(BP16=0,IF($X$23&lt;10,"x (T&lt;10)","x"),BP16)</f>
        <v>4</v>
      </c>
      <c r="K44" s="6"/>
      <c r="L44" s="3" t="str">
        <f>DQ2</f>
        <v>Kaersutit</v>
      </c>
      <c r="M44" s="260">
        <f>IF($Q$35="n","",IF(DT28="-","",DT28))</f>
      </c>
      <c r="N44" s="3">
        <f>IF(DS16=0,IF($X$23&lt;10,"x (&lt;10)","x"),DS16)</f>
        <v>6</v>
      </c>
      <c r="O44" s="6"/>
      <c r="P44" s="3" t="str">
        <f>FT2</f>
        <v>Talk</v>
      </c>
      <c r="Q44" s="260">
        <f>IF($Q$35="n","",IF(FW28="-","",FW28))</f>
      </c>
      <c r="R44" s="3">
        <f>IF(FV16=0,IF($X$23&lt;10,"x (&lt;10)","x"),FV16)</f>
        <v>2</v>
      </c>
      <c r="S44" s="6"/>
      <c r="T44" s="3" t="str">
        <f>HW2</f>
        <v>Prehnit</v>
      </c>
      <c r="U44" s="263">
        <f>IF($Q$35="n","",IF(HZ28="-","",HZ28))</f>
      </c>
      <c r="V44" s="118">
        <f>IF(HY16=0,IF($X$23&lt;10,"x (&lt;10)","x"),HY16)</f>
        <v>4</v>
      </c>
      <c r="X44" s="210"/>
      <c r="Y44" s="215" t="s">
        <v>221</v>
      </c>
      <c r="Z44" s="216" t="s">
        <v>222</v>
      </c>
      <c r="AA44" s="215"/>
      <c r="AB44" s="215"/>
      <c r="AC44" s="215"/>
      <c r="AD44" s="215"/>
      <c r="AE44" s="217"/>
      <c r="AF44" s="217"/>
      <c r="AG44" s="217"/>
      <c r="AH44" s="217"/>
      <c r="AI44" s="217"/>
      <c r="AJ44" s="217"/>
      <c r="AK44" s="212"/>
      <c r="AL44" s="280"/>
      <c r="AM44" s="280"/>
      <c r="AN44" s="280"/>
      <c r="AO44" s="280"/>
      <c r="AP44" s="280"/>
      <c r="AQ44" s="280"/>
      <c r="AR44" s="280"/>
      <c r="AS44" s="280"/>
      <c r="AW44" s="10"/>
      <c r="AX44" s="230" t="s">
        <v>223</v>
      </c>
      <c r="AY44" s="2" t="s">
        <v>183</v>
      </c>
      <c r="AZ44" s="131">
        <f aca="true" t="shared" si="121" ref="AZ44:AZ52">C6/BI36</f>
        <v>0</v>
      </c>
      <c r="BA44" s="48"/>
      <c r="BB44" s="6"/>
      <c r="BC44" s="10"/>
      <c r="BD44" s="3"/>
      <c r="BE44" s="3" t="s">
        <v>118</v>
      </c>
      <c r="BF44" s="3"/>
      <c r="BG44" s="16" t="s">
        <v>85</v>
      </c>
      <c r="BH44" s="3"/>
      <c r="BI44" s="81">
        <f>55.847/(55.847+15.999)</f>
        <v>0.7773153689836595</v>
      </c>
      <c r="BJ44" s="36">
        <f>15.999/(55.847+15.999)</f>
        <v>0.2226846310163405</v>
      </c>
      <c r="BK44" s="3"/>
      <c r="BL44" s="6"/>
      <c r="BM44" s="10"/>
      <c r="BN44" s="3"/>
      <c r="BO44" s="3"/>
      <c r="BP44" s="3" t="s">
        <v>85</v>
      </c>
      <c r="BQ44" s="38" t="s">
        <v>184</v>
      </c>
      <c r="BR44" s="137">
        <f t="shared" si="119"/>
        <v>6</v>
      </c>
      <c r="BS44" s="39" t="s">
        <v>184</v>
      </c>
      <c r="BT44" s="141">
        <f t="shared" si="120"/>
        <v>17</v>
      </c>
      <c r="BU44" s="142" t="s">
        <v>184</v>
      </c>
      <c r="BV44" s="137">
        <f>EC43</f>
        <v>6</v>
      </c>
      <c r="BW44" s="143" t="s">
        <v>190</v>
      </c>
      <c r="BX44" s="137">
        <f>EG43</f>
        <v>5</v>
      </c>
      <c r="BY44" s="85"/>
      <c r="BZ44" s="85"/>
      <c r="CA44" s="85"/>
      <c r="CB44" s="85"/>
      <c r="CC44" s="6"/>
      <c r="CD44" s="10"/>
      <c r="CE44" s="3"/>
      <c r="CF44" s="3"/>
      <c r="CG44" s="15">
        <f t="shared" si="105"/>
        <v>0</v>
      </c>
      <c r="CH44" s="3"/>
      <c r="CI44" s="15">
        <f t="shared" si="106"/>
        <v>0</v>
      </c>
      <c r="CJ44" s="3"/>
      <c r="CK44" s="15">
        <f t="shared" si="107"/>
        <v>0</v>
      </c>
      <c r="CL44" s="3"/>
      <c r="CM44" s="15">
        <f t="shared" si="108"/>
        <v>0</v>
      </c>
      <c r="CN44" s="3"/>
      <c r="CO44" s="3" t="s">
        <v>142</v>
      </c>
      <c r="CP44" s="3"/>
      <c r="CQ44" s="3" t="s">
        <v>143</v>
      </c>
      <c r="CR44" s="6"/>
      <c r="CS44" s="10"/>
      <c r="CT44" s="3"/>
      <c r="CU44" s="3"/>
      <c r="CV44" s="3"/>
      <c r="CW44" s="3"/>
      <c r="CX44" s="3"/>
      <c r="CY44" s="3"/>
      <c r="CZ44" s="74" t="str">
        <f t="shared" si="101"/>
        <v>  Pigeonit</v>
      </c>
      <c r="DA44" s="75"/>
      <c r="DB44" s="76">
        <v>3.4</v>
      </c>
      <c r="DC44" s="77"/>
      <c r="DD44" s="9" t="str">
        <f t="shared" si="102"/>
        <v>  Tschermakit (Fe)</v>
      </c>
      <c r="DE44" s="8"/>
      <c r="DF44" s="76">
        <v>3.3</v>
      </c>
      <c r="DG44" s="7"/>
      <c r="DH44" s="9" t="str">
        <f t="shared" si="103"/>
        <v>  Phlogopit</v>
      </c>
      <c r="DI44" s="8"/>
      <c r="DJ44" s="76">
        <v>2.8</v>
      </c>
      <c r="DK44" s="7"/>
      <c r="DL44" s="9" t="str">
        <f t="shared" si="104"/>
        <v>  Sepiolith</v>
      </c>
      <c r="DM44" s="8"/>
      <c r="DN44" s="78" t="s">
        <v>224</v>
      </c>
      <c r="DO44" s="6"/>
      <c r="DP44" s="60"/>
      <c r="DQ44" s="15" t="str">
        <f t="shared" si="109"/>
        <v>Ti</v>
      </c>
      <c r="DR44" s="57">
        <v>-1E-05</v>
      </c>
      <c r="DS44" s="58">
        <v>1.5</v>
      </c>
      <c r="DT44" s="52">
        <f>IF($C$46&gt;DR44,IF($C$46&lt;DS44,0,1),1)</f>
        <v>0</v>
      </c>
      <c r="DU44" s="52">
        <f>IF($C$46&gt;(DR44-DR44/100*$M$35),IF($C$46&lt;(DS44+DS44/100*$M$35),0,1),1)</f>
        <v>0</v>
      </c>
      <c r="DV44" s="29">
        <f>IF($C$46&gt;(DR44-DR44/100*$FF$34),IF($C$46&lt;(DS44+DS44/100*$FF$34),0,1),1)</f>
        <v>0</v>
      </c>
      <c r="DW44" s="57">
        <v>-1E-05</v>
      </c>
      <c r="DX44" s="58">
        <v>1.5</v>
      </c>
      <c r="DY44" s="52">
        <f>IF($C$46&gt;DW44,IF($C$46&lt;DX44,0,1),1)</f>
        <v>0</v>
      </c>
      <c r="DZ44" s="52">
        <f>IF($C$46&gt;(DW44-DW44/100*$M$35),IF($C$46&lt;(DX44+DX44/100*$M$35),0,1),1)</f>
        <v>0</v>
      </c>
      <c r="EA44" s="29">
        <f>IF($C$46&gt;(DW44-DW44/100*$FF$34),IF($C$46&lt;(DX44+DX44/100*$FF$34),0,1),1)</f>
        <v>0</v>
      </c>
      <c r="EB44" s="57">
        <v>-1E-05</v>
      </c>
      <c r="EC44" s="58">
        <v>1.5</v>
      </c>
      <c r="ED44" s="52">
        <f>IF($C$46&gt;EB44,IF($C$46&lt;EC44,0,1),1)</f>
        <v>0</v>
      </c>
      <c r="EE44" s="52">
        <f>IF($C$46&gt;(EB44-EB44/100*$M$35),IF($C$46&lt;(EC44+EC44/100*$M$35),0,1),1)</f>
        <v>0</v>
      </c>
      <c r="EF44" s="29">
        <f>IF($C$46&gt;(EB44-EB44/100*$FF$34),IF($C$46&lt;(EC44+EC44/100*$FF$34),0,1),1)</f>
        <v>0</v>
      </c>
      <c r="EG44" s="57">
        <v>-1E-05</v>
      </c>
      <c r="EH44" s="58">
        <v>1.5</v>
      </c>
      <c r="EI44" s="52">
        <f>IF($C$46&gt;EG44,IF($C$46&lt;EH44,0,1),1)</f>
        <v>0</v>
      </c>
      <c r="EJ44" s="52">
        <f>IF($C$46&gt;(EG44-EG44/100*$M$35),IF($C$46&lt;(EH44+EH44/100*$M$35),0,1),1)</f>
        <v>0</v>
      </c>
      <c r="EK44" s="29">
        <f>IF($C$46&gt;(EG44-EG44/100*$FF$34),IF($C$46&lt;(EH44+EH44/100*$FF$34),0,1),1)</f>
        <v>0</v>
      </c>
      <c r="EL44" s="57">
        <v>-1E-05</v>
      </c>
      <c r="EM44" s="58">
        <v>1.5</v>
      </c>
      <c r="EN44" s="52">
        <f>IF($C$46&gt;EL44,IF($C$46&lt;EM44,0,1),1)</f>
        <v>0</v>
      </c>
      <c r="EO44" s="52">
        <f>IF($C$46&gt;(EL44-EL44/100*$M$35),IF($C$46&lt;(EM44+EM44/100*$M$35),0,1),1)</f>
        <v>0</v>
      </c>
      <c r="EP44" s="29">
        <f>IF($C$46&gt;(EL44-EL44/100*$FF$34),IF($C$46&lt;(EM44+EM44/100*$FF$34),0,1),1)</f>
        <v>0</v>
      </c>
      <c r="EQ44" s="57">
        <v>-1E-05</v>
      </c>
      <c r="ER44" s="58">
        <v>1.5</v>
      </c>
      <c r="ES44" s="52">
        <f>IF($C$46&gt;EQ44,IF($C$46&lt;ER44,0,1),1)</f>
        <v>0</v>
      </c>
      <c r="ET44" s="52">
        <f>IF($C$46&gt;(EQ44-EQ44/100*$M$35),IF($C$46&lt;(ER44+ER44/100*$M$35),0,1),1)</f>
        <v>0</v>
      </c>
      <c r="EU44" s="29">
        <f>IF($C$46&gt;(EQ44-EQ44/100*$FF$34),IF($C$46&lt;(ER44+ER44/100*$FF$34),0,1),1)</f>
        <v>0</v>
      </c>
      <c r="EV44" s="61"/>
      <c r="EW44" s="60"/>
      <c r="EX44" s="10"/>
      <c r="EY44" s="60">
        <f t="shared" si="110"/>
        <v>0</v>
      </c>
      <c r="EZ44" s="3">
        <f t="shared" si="111"/>
        <v>0</v>
      </c>
      <c r="FA44" s="3">
        <f t="shared" si="112"/>
        <v>0</v>
      </c>
      <c r="FB44" s="61">
        <f t="shared" si="113"/>
        <v>0</v>
      </c>
      <c r="FC44" s="3"/>
      <c r="FD44" s="60"/>
      <c r="FE44" s="3">
        <f>IF(J41="x",1,0)</f>
        <v>0</v>
      </c>
      <c r="FF44" s="3">
        <f>IF(N41="x",1,0)</f>
        <v>0</v>
      </c>
      <c r="FG44" s="3">
        <f>IF(R41="x",1,0)</f>
        <v>0</v>
      </c>
      <c r="FH44" s="3">
        <f>IF(V41="x",1,0)</f>
        <v>0</v>
      </c>
      <c r="FI44" s="61"/>
      <c r="FJ44" s="6"/>
      <c r="FK44" s="61"/>
      <c r="FL44" s="3"/>
      <c r="FM44" s="3" t="s">
        <v>194</v>
      </c>
      <c r="FN44" s="3"/>
      <c r="FO44" s="3" t="s">
        <v>195</v>
      </c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60"/>
      <c r="GB44" s="3"/>
      <c r="GC44" s="3"/>
      <c r="GD44" s="3"/>
      <c r="GE44" s="3"/>
      <c r="GF44" s="3"/>
      <c r="GG44" s="61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61"/>
      <c r="IM44" s="3"/>
      <c r="IN44" s="3"/>
      <c r="IO44" s="3"/>
      <c r="IP44" s="3"/>
      <c r="IQ44" s="3"/>
      <c r="IR44" s="3"/>
      <c r="IS44" s="3"/>
    </row>
    <row r="45" spans="1:253" ht="13.5" thickBot="1">
      <c r="A45" s="60"/>
      <c r="B45" s="6" t="s">
        <v>85</v>
      </c>
      <c r="C45" s="135">
        <f>IF($BA$36=1,C14*$AX$41,IF($BA$36=2,D14*$AY$41,IF($BA$36=3,E14*$AZ$41,IF($BA$36=4,(C26*BI44+C27*BI45)*$AX$42,0))))</f>
        <v>0.04312639750475458</v>
      </c>
      <c r="D45" s="6"/>
      <c r="E45" s="70" t="str">
        <f>IF(F42="n",CONCATENATE("-intensitäten: ",AZ39),CONCATENATE("vor Normierung: ",AZ39))</f>
        <v>vor Normierung: 97,31</v>
      </c>
      <c r="F45" s="122"/>
      <c r="H45" s="60" t="str">
        <f>BS2</f>
        <v>Pigeonitaugit (Fe)</v>
      </c>
      <c r="I45" s="260">
        <f>IF($Q$35="n","",IF(BV28="-","",BV28))</f>
      </c>
      <c r="J45" s="3">
        <f>IF(BU16=0,IF($X$23&lt;10,"x (T&lt;10)","x"),BU16)</f>
        <v>4</v>
      </c>
      <c r="K45" s="6"/>
      <c r="L45" s="3" t="str">
        <f>DV2</f>
        <v>Tschermakit</v>
      </c>
      <c r="M45" s="260">
        <f>IF($Q$35="n","",IF(DY28="-","",DY28))</f>
      </c>
      <c r="N45" s="3">
        <f>IF(DX16=0,IF($X$23&lt;10,"x (&lt;10)","x"),DX16)</f>
        <v>4</v>
      </c>
      <c r="O45" s="6"/>
      <c r="P45" s="3" t="str">
        <f>FY2</f>
        <v>Muskovit</v>
      </c>
      <c r="Q45" s="260">
        <f>IF($Q$35="n","",IF(GB28="-","",GB28))</f>
      </c>
      <c r="R45" s="3">
        <f>IF(GA16=0,IF($X$23&lt;10,"x (&lt;10)","x"),GA16)</f>
        <v>5</v>
      </c>
      <c r="S45" s="6"/>
      <c r="T45" s="3" t="str">
        <f>IB2</f>
        <v>Pumpellyit</v>
      </c>
      <c r="U45" s="263">
        <f>IF($Q$35="n","",IF(IE28="-","",IE28))</f>
      </c>
      <c r="V45" s="118">
        <f>IF(ID16=0,IF($X$23&lt;10,"x (&lt;10)","x"),ID16)</f>
        <v>5</v>
      </c>
      <c r="X45" s="210"/>
      <c r="Y45" s="214" t="s">
        <v>225</v>
      </c>
      <c r="Z45" s="218" t="s">
        <v>226</v>
      </c>
      <c r="AA45" s="214"/>
      <c r="AB45" s="214"/>
      <c r="AC45" s="214"/>
      <c r="AD45" s="214"/>
      <c r="AE45" s="211"/>
      <c r="AF45" s="211"/>
      <c r="AG45" s="211"/>
      <c r="AH45" s="211"/>
      <c r="AI45" s="211"/>
      <c r="AJ45" s="211"/>
      <c r="AK45" s="219"/>
      <c r="AW45" s="10"/>
      <c r="AX45" s="186" t="s">
        <v>227</v>
      </c>
      <c r="AY45" s="3" t="s">
        <v>101</v>
      </c>
      <c r="AZ45" s="132">
        <f t="shared" si="121"/>
        <v>0</v>
      </c>
      <c r="BA45" s="61"/>
      <c r="BB45" s="6"/>
      <c r="BC45" s="10"/>
      <c r="BD45" s="3"/>
      <c r="BE45" s="3" t="s">
        <v>228</v>
      </c>
      <c r="BF45" s="3"/>
      <c r="BG45" s="16" t="s">
        <v>85</v>
      </c>
      <c r="BH45" s="3"/>
      <c r="BI45" s="81">
        <f>55.847*2/(55.847*2+15.999*3)</f>
        <v>0.6994382901979448</v>
      </c>
      <c r="BJ45" s="36">
        <f>15.999*3/(55.847*2+15.999*3)</f>
        <v>0.3005617098020552</v>
      </c>
      <c r="BK45" s="3"/>
      <c r="BL45" s="6"/>
      <c r="BM45" s="10"/>
      <c r="BN45" s="3"/>
      <c r="BO45" s="3"/>
      <c r="BP45" s="3" t="s">
        <v>87</v>
      </c>
      <c r="BQ45" s="38" t="s">
        <v>184</v>
      </c>
      <c r="BR45" s="137">
        <f t="shared" si="119"/>
        <v>1.5</v>
      </c>
      <c r="BS45" s="38" t="s">
        <v>184</v>
      </c>
      <c r="BT45" s="137">
        <f t="shared" si="120"/>
        <v>1.5</v>
      </c>
      <c r="BU45" s="142" t="s">
        <v>184</v>
      </c>
      <c r="BV45" s="137">
        <f>EC44</f>
        <v>1.5</v>
      </c>
      <c r="BW45" s="142" t="s">
        <v>184</v>
      </c>
      <c r="BX45" s="137">
        <f>EH44</f>
        <v>1.5</v>
      </c>
      <c r="BY45" s="85"/>
      <c r="BZ45" s="85" t="s">
        <v>142</v>
      </c>
      <c r="CA45" s="85"/>
      <c r="CB45" s="85" t="s">
        <v>143</v>
      </c>
      <c r="CC45" s="6"/>
      <c r="CD45" s="10"/>
      <c r="CE45" s="3"/>
      <c r="CF45" s="3"/>
      <c r="CG45" s="24">
        <f>IF(J16="ja",0,IF(J16="-",0,1))</f>
        <v>1</v>
      </c>
      <c r="CH45" s="3"/>
      <c r="CI45" s="24">
        <f>IF(N16="ja",0,IF(N16="-",0,1))</f>
        <v>0</v>
      </c>
      <c r="CJ45" s="3"/>
      <c r="CK45" s="24">
        <f>IF(R16="ja",0,IF(R16="-",0,1))</f>
        <v>0</v>
      </c>
      <c r="CL45" s="3"/>
      <c r="CM45" s="24">
        <f>IF(V16="ja",0,IF(V16="-",0,1))</f>
        <v>1</v>
      </c>
      <c r="CN45" s="198" t="s">
        <v>180</v>
      </c>
      <c r="CO45" s="24">
        <f>IF(F36="-",0,IF(F36&gt;BZ46,0,1))</f>
        <v>0</v>
      </c>
      <c r="CP45" s="198" t="s">
        <v>180</v>
      </c>
      <c r="CQ45" s="24">
        <f>IF(F36="-",0,IF(F36&gt;CB46,0,1))</f>
        <v>1</v>
      </c>
      <c r="CR45" s="6"/>
      <c r="CS45" s="10"/>
      <c r="CT45" s="3"/>
      <c r="CU45" s="3"/>
      <c r="CV45" s="3"/>
      <c r="CW45" s="3"/>
      <c r="CX45" s="3"/>
      <c r="CY45" s="3"/>
      <c r="CZ45" s="20"/>
      <c r="DA45" s="20"/>
      <c r="DB45" s="153"/>
      <c r="DC45" s="20"/>
      <c r="DD45" s="10" t="str">
        <f t="shared" si="102"/>
        <v>  Chrysotil</v>
      </c>
      <c r="DE45" s="3"/>
      <c r="DF45" s="79">
        <v>2.5</v>
      </c>
      <c r="DG45" s="154"/>
      <c r="DH45" s="155" t="str">
        <f t="shared" si="103"/>
        <v>  Tremolit</v>
      </c>
      <c r="DI45" s="62"/>
      <c r="DJ45" s="79">
        <v>3</v>
      </c>
      <c r="DK45" s="6"/>
      <c r="DL45" s="10" t="str">
        <f t="shared" si="104"/>
        <v>  Amosit</v>
      </c>
      <c r="DM45" s="3"/>
      <c r="DN45" s="73">
        <v>3.5</v>
      </c>
      <c r="DO45" s="6"/>
      <c r="DP45" s="60"/>
      <c r="DQ45" s="62" t="s">
        <v>89</v>
      </c>
      <c r="DR45" s="85"/>
      <c r="DS45" s="85"/>
      <c r="DT45" s="87">
        <f>SUM(DT35:DT44)</f>
        <v>3</v>
      </c>
      <c r="DU45" s="87">
        <f>SUM(DU35:DU44)</f>
        <v>3</v>
      </c>
      <c r="DV45" s="87">
        <f>SUM(DV35:DV44)</f>
        <v>3</v>
      </c>
      <c r="DW45" s="85"/>
      <c r="DX45" s="85"/>
      <c r="DY45" s="87">
        <f>SUM(DY35:DY44)</f>
        <v>2</v>
      </c>
      <c r="DZ45" s="87">
        <f>SUM(DZ35:DZ44)</f>
        <v>2</v>
      </c>
      <c r="EA45" s="87">
        <f>SUM(EA35:EA44)</f>
        <v>2</v>
      </c>
      <c r="EB45" s="85"/>
      <c r="EC45" s="85"/>
      <c r="ED45" s="87">
        <f>SUM(ED35:ED44)</f>
        <v>0</v>
      </c>
      <c r="EE45" s="87">
        <f>SUM(EE35:EE44)</f>
        <v>0</v>
      </c>
      <c r="EF45" s="87">
        <f>SUM(EF35:EF44)</f>
        <v>0</v>
      </c>
      <c r="EG45" s="85"/>
      <c r="EH45" s="85"/>
      <c r="EI45" s="87">
        <f>SUM(EI35:EI44)</f>
        <v>2</v>
      </c>
      <c r="EJ45" s="87">
        <f>SUM(EJ35:EJ44)</f>
        <v>2</v>
      </c>
      <c r="EK45" s="87">
        <f>SUM(EK35:EK44)</f>
        <v>2</v>
      </c>
      <c r="EL45" s="85"/>
      <c r="EM45" s="85"/>
      <c r="EN45" s="87">
        <f>SUM(EN35:EN44)</f>
        <v>3</v>
      </c>
      <c r="EO45" s="87">
        <f>SUM(EO35:EO44)</f>
        <v>3</v>
      </c>
      <c r="EP45" s="87">
        <f>SUM(EP35:EP44)</f>
        <v>3</v>
      </c>
      <c r="EQ45" s="85"/>
      <c r="ER45" s="85"/>
      <c r="ES45" s="87">
        <f>SUM(ES35:ES44)</f>
        <v>5</v>
      </c>
      <c r="ET45" s="87">
        <f>SUM(ET35:ET44)</f>
        <v>5</v>
      </c>
      <c r="EU45" s="87">
        <f>SUM(EU35:EU44)</f>
        <v>5</v>
      </c>
      <c r="EV45" s="61"/>
      <c r="EW45" s="60"/>
      <c r="EX45" s="10"/>
      <c r="EY45" s="60">
        <f t="shared" si="110"/>
        <v>0</v>
      </c>
      <c r="EZ45" s="3">
        <f t="shared" si="111"/>
        <v>0</v>
      </c>
      <c r="FA45" s="3">
        <f t="shared" si="112"/>
        <v>0</v>
      </c>
      <c r="FB45" s="61">
        <f t="shared" si="113"/>
        <v>0</v>
      </c>
      <c r="FC45" s="3"/>
      <c r="FD45" s="60"/>
      <c r="FE45" s="3">
        <f t="shared" si="115"/>
        <v>0</v>
      </c>
      <c r="FF45" s="3">
        <f t="shared" si="116"/>
        <v>0</v>
      </c>
      <c r="FG45" s="3">
        <f t="shared" si="117"/>
        <v>0</v>
      </c>
      <c r="FH45" s="3">
        <f t="shared" si="118"/>
        <v>0</v>
      </c>
      <c r="FI45" s="61"/>
      <c r="FJ45" s="6"/>
      <c r="FK45" s="61"/>
      <c r="FL45" s="3"/>
      <c r="FM45" s="3"/>
      <c r="FN45" s="3"/>
      <c r="FO45" s="3" t="s">
        <v>199</v>
      </c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60"/>
      <c r="GB45" s="3"/>
      <c r="GC45" s="3"/>
      <c r="GD45" s="3"/>
      <c r="GE45" s="3"/>
      <c r="GF45" s="3"/>
      <c r="GG45" s="61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61"/>
      <c r="IM45" s="3"/>
      <c r="IN45" s="3"/>
      <c r="IO45" s="3"/>
      <c r="IP45" s="3"/>
      <c r="IQ45" s="3"/>
      <c r="IR45" s="3"/>
      <c r="IS45" s="3"/>
    </row>
    <row r="46" spans="1:253" ht="13.5" thickBot="1">
      <c r="A46" s="4"/>
      <c r="B46" s="5" t="s">
        <v>87</v>
      </c>
      <c r="C46" s="293">
        <f>IF($BA$36=1,C15*$AX$41,IF($BA$36=2,D15*$AY$41,IF($BA$36=3,E15*$AZ$41,IF($BA$36=4,C28*BI46*$AX$42,0))))</f>
        <v>0</v>
      </c>
      <c r="D46" s="109"/>
      <c r="E46" s="5" t="str">
        <f>IF(F42="n","-","(Fe als FeO berechnet)")</f>
        <v>(Fe als FeO berechnet)</v>
      </c>
      <c r="F46" s="49"/>
      <c r="H46" s="123" t="str">
        <f>BX2</f>
        <v>Pigeonit</v>
      </c>
      <c r="I46" s="261">
        <f>IF($Q$35="n","",IF(CA28="-","",CA28))</f>
      </c>
      <c r="J46" s="8">
        <f>IF(BZ16=0,IF($X$23&lt;10,"x (T&lt;10)","x"),BZ16)</f>
        <v>5</v>
      </c>
      <c r="K46" s="7"/>
      <c r="L46" s="3" t="str">
        <f>EA2</f>
        <v>Tschermakit (Fe)</v>
      </c>
      <c r="M46" s="261">
        <f>IF($Q$35="n","",IF(ED28="-","",ED28))</f>
      </c>
      <c r="N46" s="3">
        <f>IF(EC16=0,IF($X$23&lt;10,"x (&lt;10)","x"),EC16)</f>
        <v>4</v>
      </c>
      <c r="O46" s="6"/>
      <c r="P46" s="3" t="str">
        <f>GD2</f>
        <v>Phlogopit</v>
      </c>
      <c r="Q46" s="261">
        <f>IF($Q$35="n","",IF(GG28="-","",GG28))</f>
      </c>
      <c r="R46" s="3">
        <f>IF(GF16=0,IF($X$23&lt;10,"x (&lt;10)","x"),GF16)</f>
        <v>4</v>
      </c>
      <c r="S46" s="6"/>
      <c r="T46" s="3" t="str">
        <f>IG2</f>
        <v>Sepiolith</v>
      </c>
      <c r="U46" s="264">
        <f>IF($Q$35="n","",IF(IJ28="-","",IJ28))</f>
      </c>
      <c r="V46" s="118">
        <f>IF(II16=0,IF($X$23&lt;10,"x (&lt;10)","x"),II16)</f>
        <v>2</v>
      </c>
      <c r="X46" s="210"/>
      <c r="Y46" s="215"/>
      <c r="Z46" s="216" t="s">
        <v>229</v>
      </c>
      <c r="AA46" s="215"/>
      <c r="AB46" s="215"/>
      <c r="AC46" s="215"/>
      <c r="AD46" s="215"/>
      <c r="AE46" s="217"/>
      <c r="AF46" s="217"/>
      <c r="AG46" s="217"/>
      <c r="AH46" s="217"/>
      <c r="AI46" s="217"/>
      <c r="AJ46" s="217"/>
      <c r="AK46" s="212"/>
      <c r="AL46" s="280"/>
      <c r="AM46" s="280"/>
      <c r="AN46" s="280"/>
      <c r="AO46" s="280"/>
      <c r="AP46" s="280"/>
      <c r="AQ46" s="280"/>
      <c r="AR46" s="280"/>
      <c r="AS46" s="280"/>
      <c r="AW46" s="10"/>
      <c r="AX46" s="186" t="s">
        <v>171</v>
      </c>
      <c r="AY46" s="3" t="s">
        <v>197</v>
      </c>
      <c r="AZ46" s="132">
        <f t="shared" si="121"/>
        <v>0</v>
      </c>
      <c r="BA46" s="61"/>
      <c r="BB46" s="6"/>
      <c r="BC46" s="10"/>
      <c r="BD46" s="3"/>
      <c r="BE46" s="8" t="s">
        <v>230</v>
      </c>
      <c r="BF46" s="8"/>
      <c r="BG46" s="15" t="s">
        <v>87</v>
      </c>
      <c r="BH46" s="8"/>
      <c r="BI46" s="35">
        <f>47.88/(47.88+15.999*2)</f>
        <v>0.5994141065124315</v>
      </c>
      <c r="BJ46" s="37">
        <f>15.999*2/(47.88+15.999*2)</f>
        <v>0.40058589348756857</v>
      </c>
      <c r="BK46" s="3"/>
      <c r="BL46" s="6"/>
      <c r="BM46" s="10"/>
      <c r="BN46" s="3"/>
      <c r="BO46" s="3"/>
      <c r="BP46" s="12" t="s">
        <v>90</v>
      </c>
      <c r="BQ46" s="42" t="s">
        <v>184</v>
      </c>
      <c r="BR46" s="43">
        <v>1</v>
      </c>
      <c r="BS46" s="42" t="s">
        <v>190</v>
      </c>
      <c r="BT46" s="43">
        <v>1</v>
      </c>
      <c r="BU46" s="42" t="s">
        <v>190</v>
      </c>
      <c r="BV46" s="43">
        <v>1</v>
      </c>
      <c r="BW46" s="42" t="s">
        <v>190</v>
      </c>
      <c r="BX46" s="43">
        <v>2</v>
      </c>
      <c r="BY46" s="42" t="s">
        <v>190</v>
      </c>
      <c r="BZ46" s="43">
        <v>1.5</v>
      </c>
      <c r="CA46" s="42" t="s">
        <v>190</v>
      </c>
      <c r="CB46" s="43">
        <v>2</v>
      </c>
      <c r="CC46" s="6"/>
      <c r="CD46" s="10"/>
      <c r="CE46" s="3"/>
      <c r="CF46" s="3"/>
      <c r="CG46" s="16">
        <f t="shared" si="105"/>
        <v>0</v>
      </c>
      <c r="CH46" s="3"/>
      <c r="CI46" s="15">
        <f t="shared" si="106"/>
        <v>0</v>
      </c>
      <c r="CJ46" s="3"/>
      <c r="CK46" s="16">
        <f t="shared" si="107"/>
        <v>0</v>
      </c>
      <c r="CL46" s="3"/>
      <c r="CM46" s="16">
        <f t="shared" si="108"/>
        <v>0</v>
      </c>
      <c r="CN46" s="198" t="s">
        <v>198</v>
      </c>
      <c r="CO46" s="16">
        <f>IF(F39="-",0,IF(F39&lt;BZ47,0,1))</f>
        <v>1</v>
      </c>
      <c r="CP46" s="198" t="s">
        <v>198</v>
      </c>
      <c r="CQ46" s="16">
        <f>IF(F39="-",0,IF(F39&lt;CB47,0,1))</f>
        <v>1</v>
      </c>
      <c r="CR46" s="6"/>
      <c r="CS46" s="10"/>
      <c r="CT46" s="3"/>
      <c r="CU46" s="3"/>
      <c r="CV46" s="3"/>
      <c r="CW46" s="3"/>
      <c r="CX46" s="3"/>
      <c r="CY46" s="3"/>
      <c r="CZ46" s="20"/>
      <c r="DA46" s="20"/>
      <c r="DB46" s="153"/>
      <c r="DC46" s="20"/>
      <c r="DD46" s="9" t="str">
        <f t="shared" si="102"/>
        <v>  Anthophyllit</v>
      </c>
      <c r="DE46" s="8"/>
      <c r="DF46" s="232">
        <v>3.1</v>
      </c>
      <c r="DG46" s="156"/>
      <c r="DH46" s="106" t="str">
        <f t="shared" si="103"/>
        <v>  Aktinolith</v>
      </c>
      <c r="DI46" s="157"/>
      <c r="DJ46" s="232">
        <v>3.3</v>
      </c>
      <c r="DK46" s="7"/>
      <c r="DL46" s="9" t="str">
        <f t="shared" si="104"/>
        <v>  Krokydolith</v>
      </c>
      <c r="DM46" s="8"/>
      <c r="DN46" s="78">
        <v>3.4</v>
      </c>
      <c r="DO46" s="6"/>
      <c r="DP46" s="60"/>
      <c r="DQ46" s="3" t="s">
        <v>91</v>
      </c>
      <c r="DR46" s="3"/>
      <c r="DS46" s="3"/>
      <c r="DT46" s="86">
        <f>IF(DR32="-","-",IF($Q$35="n",DU45,DV45))</f>
        <v>3</v>
      </c>
      <c r="DU46" s="29"/>
      <c r="DV46" s="29"/>
      <c r="DW46" s="3"/>
      <c r="DX46" s="3"/>
      <c r="DY46" s="86">
        <f>IF(DW32="-","-",IF($Q$35="n",DZ45,EA45))</f>
        <v>2</v>
      </c>
      <c r="DZ46" s="29"/>
      <c r="EA46" s="29"/>
      <c r="EB46" s="3"/>
      <c r="EC46" s="3"/>
      <c r="ED46" s="86">
        <f>IF(EB32="-","-",IF($Q$35="n",EE45,EF45))</f>
        <v>0</v>
      </c>
      <c r="EE46" s="29"/>
      <c r="EF46" s="29"/>
      <c r="EG46" s="3"/>
      <c r="EH46" s="3"/>
      <c r="EI46" s="86">
        <f>IF(EG32="-","-",IF($Q$35="n",EJ45,EK45))</f>
        <v>2</v>
      </c>
      <c r="EJ46" s="29"/>
      <c r="EK46" s="29"/>
      <c r="EL46" s="3"/>
      <c r="EM46" s="3"/>
      <c r="EN46" s="86">
        <f>IF(EL32="-","-",IF($Q$35="n",EO45,EP45))</f>
        <v>3</v>
      </c>
      <c r="EO46" s="29"/>
      <c r="EP46" s="29"/>
      <c r="EQ46" s="3"/>
      <c r="ER46" s="3"/>
      <c r="ES46" s="86">
        <f>IF(EQ32="-","-",IF($Q$35="n",ET45,EU45))</f>
        <v>5</v>
      </c>
      <c r="ET46" s="29"/>
      <c r="EU46" s="29"/>
      <c r="EV46" s="61"/>
      <c r="EW46" s="60"/>
      <c r="EX46" s="10"/>
      <c r="EY46" s="60">
        <f t="shared" si="110"/>
        <v>0</v>
      </c>
      <c r="EZ46" s="3">
        <f t="shared" si="111"/>
        <v>0</v>
      </c>
      <c r="FA46" s="3">
        <f t="shared" si="112"/>
        <v>0</v>
      </c>
      <c r="FB46" s="61">
        <f t="shared" si="113"/>
        <v>0</v>
      </c>
      <c r="FC46" s="3"/>
      <c r="FD46" s="60"/>
      <c r="FE46" s="3">
        <f t="shared" si="115"/>
        <v>0</v>
      </c>
      <c r="FF46" s="3">
        <f t="shared" si="116"/>
        <v>0</v>
      </c>
      <c r="FG46" s="3">
        <f t="shared" si="117"/>
        <v>0</v>
      </c>
      <c r="FH46" s="3">
        <f t="shared" si="118"/>
        <v>0</v>
      </c>
      <c r="FI46" s="61"/>
      <c r="FJ46" s="6"/>
      <c r="FK46" s="61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60"/>
      <c r="GB46" s="3"/>
      <c r="GC46" s="3"/>
      <c r="GD46" s="3"/>
      <c r="GE46" s="3"/>
      <c r="GF46" s="3"/>
      <c r="GG46" s="61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61"/>
      <c r="IM46" s="3"/>
      <c r="IN46" s="3"/>
      <c r="IO46" s="3"/>
      <c r="IP46" s="3"/>
      <c r="IQ46" s="3"/>
      <c r="IR46" s="3"/>
      <c r="IS46" s="3"/>
    </row>
    <row r="47" spans="1:253" s="145" customFormat="1" ht="12.75" customHeight="1" thickBot="1">
      <c r="A47" s="3"/>
      <c r="B47" s="3"/>
      <c r="C47" s="135"/>
      <c r="D47" s="3"/>
      <c r="E47" s="3"/>
      <c r="F47" s="3"/>
      <c r="G47" s="1"/>
      <c r="H47" s="163" t="s">
        <v>231</v>
      </c>
      <c r="I47" s="3"/>
      <c r="J47" s="3"/>
      <c r="K47" s="3"/>
      <c r="L47" s="103" t="s">
        <v>138</v>
      </c>
      <c r="M47" s="104"/>
      <c r="N47" s="104">
        <f>IF(DT46=0,IF(SUM(CG45:CG47)=0,IF(X23&gt;20,"x (T&gt;20)","x"),"-"),DT46)</f>
        <v>3</v>
      </c>
      <c r="O47" s="105"/>
      <c r="P47" s="103" t="s">
        <v>159</v>
      </c>
      <c r="Q47" s="104"/>
      <c r="R47" s="104" t="str">
        <f>IF(ED46=0,IF(SUM(CK45:CK47)=0,IF(X23&gt;20,"x (T&gt;20)","x"),"-"),ED46)</f>
        <v>x</v>
      </c>
      <c r="S47" s="105"/>
      <c r="T47" s="103" t="s">
        <v>142</v>
      </c>
      <c r="U47" s="104"/>
      <c r="V47" s="119">
        <f>IF(EN46=0,IF(SUM(CO45:CO47)=0,IF(X23&gt;20,"x (T&gt;20)","x"),"-"),EN46)</f>
        <v>3</v>
      </c>
      <c r="X47" s="210"/>
      <c r="Y47" s="215" t="s">
        <v>232</v>
      </c>
      <c r="Z47" s="216" t="s">
        <v>233</v>
      </c>
      <c r="AA47" s="215"/>
      <c r="AB47" s="215"/>
      <c r="AC47" s="215"/>
      <c r="AD47" s="215"/>
      <c r="AE47" s="217"/>
      <c r="AF47" s="217"/>
      <c r="AG47" s="217"/>
      <c r="AH47" s="217"/>
      <c r="AI47" s="217"/>
      <c r="AJ47" s="217"/>
      <c r="AK47" s="212"/>
      <c r="AL47" s="280"/>
      <c r="AM47" s="280"/>
      <c r="AN47" s="280"/>
      <c r="AO47" s="280"/>
      <c r="AP47" s="280"/>
      <c r="AQ47" s="280"/>
      <c r="AR47" s="280"/>
      <c r="AS47" s="280"/>
      <c r="AW47" s="10"/>
      <c r="AX47" s="186" t="s">
        <v>234</v>
      </c>
      <c r="AY47" s="3" t="s">
        <v>201</v>
      </c>
      <c r="AZ47" s="132">
        <f t="shared" si="121"/>
        <v>0</v>
      </c>
      <c r="BA47" s="61"/>
      <c r="BB47" s="6"/>
      <c r="BC47" s="10"/>
      <c r="BD47" s="3"/>
      <c r="BE47" s="3"/>
      <c r="BF47" s="3"/>
      <c r="BG47" s="3"/>
      <c r="BH47" s="3"/>
      <c r="BI47" s="3"/>
      <c r="BJ47" s="3"/>
      <c r="BK47" s="3"/>
      <c r="BL47" s="6"/>
      <c r="BM47" s="10"/>
      <c r="BN47" s="3"/>
      <c r="BO47" s="3"/>
      <c r="BP47" s="10" t="s">
        <v>94</v>
      </c>
      <c r="BQ47" s="38" t="s">
        <v>190</v>
      </c>
      <c r="BR47" s="30">
        <v>4</v>
      </c>
      <c r="BS47" s="38"/>
      <c r="BT47" s="30" t="s">
        <v>224</v>
      </c>
      <c r="BU47" s="38"/>
      <c r="BV47" s="30" t="s">
        <v>224</v>
      </c>
      <c r="BW47" s="38"/>
      <c r="BX47" s="30" t="s">
        <v>224</v>
      </c>
      <c r="BY47" s="38" t="s">
        <v>184</v>
      </c>
      <c r="BZ47" s="30">
        <v>2</v>
      </c>
      <c r="CA47" s="38" t="s">
        <v>184</v>
      </c>
      <c r="CB47" s="30">
        <v>3</v>
      </c>
      <c r="CC47" s="6"/>
      <c r="CD47" s="10"/>
      <c r="CE47" s="3"/>
      <c r="CF47" s="3"/>
      <c r="CG47" s="15">
        <f t="shared" si="105"/>
        <v>0</v>
      </c>
      <c r="CH47" s="3"/>
      <c r="CI47" s="3"/>
      <c r="CJ47" s="3"/>
      <c r="CK47" s="15">
        <f t="shared" si="107"/>
        <v>0</v>
      </c>
      <c r="CL47" s="3"/>
      <c r="CM47" s="15">
        <f t="shared" si="108"/>
        <v>0</v>
      </c>
      <c r="CN47" s="198" t="s">
        <v>188</v>
      </c>
      <c r="CO47" s="15">
        <f>IF(F37="-",0,IF(F37&gt;BZ48,0,1))</f>
        <v>0</v>
      </c>
      <c r="CP47" s="198" t="s">
        <v>188</v>
      </c>
      <c r="CQ47" s="15">
        <f>IF(F37="-",0,IF(F37&gt;CB48,0,1))</f>
        <v>0</v>
      </c>
      <c r="CR47" s="6"/>
      <c r="CS47" s="10"/>
      <c r="CT47" s="3"/>
      <c r="CU47" s="3"/>
      <c r="CV47" s="3"/>
      <c r="CW47" s="3"/>
      <c r="CX47" s="3"/>
      <c r="CY47" s="3"/>
      <c r="CZ47" s="3" t="s">
        <v>146</v>
      </c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6"/>
      <c r="DP47" s="60"/>
      <c r="DQ47" s="3"/>
      <c r="DR47" s="3"/>
      <c r="DS47" s="3"/>
      <c r="DT47" s="183"/>
      <c r="DU47" s="29"/>
      <c r="DV47" s="29"/>
      <c r="DW47" s="3"/>
      <c r="DX47" s="3"/>
      <c r="DY47" s="29"/>
      <c r="DZ47" s="29"/>
      <c r="EA47" s="29"/>
      <c r="EB47" s="3"/>
      <c r="EC47" s="3"/>
      <c r="ED47" s="29"/>
      <c r="EE47" s="29"/>
      <c r="EF47" s="29"/>
      <c r="EG47" s="3"/>
      <c r="EH47" s="3"/>
      <c r="EI47" s="29"/>
      <c r="EJ47" s="29"/>
      <c r="EK47" s="29"/>
      <c r="EL47" s="3"/>
      <c r="EM47" s="3"/>
      <c r="EN47" s="29"/>
      <c r="EO47" s="29"/>
      <c r="EP47" s="29"/>
      <c r="EQ47" s="3"/>
      <c r="ER47" s="3"/>
      <c r="ES47" s="29"/>
      <c r="ET47" s="29"/>
      <c r="EU47" s="29"/>
      <c r="EV47" s="61"/>
      <c r="EW47" s="60"/>
      <c r="EX47" s="10"/>
      <c r="EY47" s="234"/>
      <c r="EZ47" s="3"/>
      <c r="FA47" s="3"/>
      <c r="FB47" s="61"/>
      <c r="FC47" s="3"/>
      <c r="FD47" s="60"/>
      <c r="FE47" s="3">
        <f t="shared" si="115"/>
        <v>0</v>
      </c>
      <c r="FF47" s="3">
        <f t="shared" si="116"/>
        <v>0</v>
      </c>
      <c r="FG47" s="3">
        <f t="shared" si="117"/>
        <v>0</v>
      </c>
      <c r="FH47" s="3">
        <f t="shared" si="118"/>
        <v>0</v>
      </c>
      <c r="FI47" s="61"/>
      <c r="FJ47" s="6"/>
      <c r="FK47" s="61"/>
      <c r="FL47" s="1"/>
      <c r="FM47" s="190" t="s">
        <v>235</v>
      </c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60"/>
      <c r="GB47" s="3"/>
      <c r="GC47" s="3"/>
      <c r="GD47" s="3"/>
      <c r="GE47" s="3"/>
      <c r="GF47" s="3"/>
      <c r="GG47" s="61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61"/>
      <c r="IM47" s="3"/>
      <c r="IN47" s="3"/>
      <c r="IO47" s="3"/>
      <c r="IP47" s="3"/>
      <c r="IQ47" s="3"/>
      <c r="IR47" s="3"/>
      <c r="IS47" s="3"/>
    </row>
    <row r="48" spans="1:253" ht="12.75" customHeight="1" thickBot="1">
      <c r="A48" s="298" t="s">
        <v>236</v>
      </c>
      <c r="B48" s="299"/>
      <c r="C48" s="300"/>
      <c r="D48" s="300"/>
      <c r="E48" s="300"/>
      <c r="F48" s="301"/>
      <c r="H48" s="164" t="s">
        <v>237</v>
      </c>
      <c r="I48" s="146"/>
      <c r="J48" s="146"/>
      <c r="K48" s="146"/>
      <c r="L48" s="147" t="s">
        <v>139</v>
      </c>
      <c r="M48" s="148"/>
      <c r="N48" s="148">
        <f>IF(DY46=0,IF(SUM(CI45:CI46)=0,IF(X23&gt;20,"x (T&gt;20)","x"),"-"),DY46)</f>
        <v>2</v>
      </c>
      <c r="O48" s="149"/>
      <c r="P48" s="147" t="s">
        <v>141</v>
      </c>
      <c r="Q48" s="148"/>
      <c r="R48" s="148">
        <f>IF(EI46=0,IF(SUM(CM45:CM47)=0,IF(X23&gt;20,"x (T&gt;20)","x"),"-"),EI46)</f>
        <v>2</v>
      </c>
      <c r="S48" s="149"/>
      <c r="T48" s="150" t="s">
        <v>143</v>
      </c>
      <c r="U48" s="151"/>
      <c r="V48" s="152">
        <f>IF(ES46=0,IF(SUM(CQ45:CQ47)=0,IF(X23&gt;20,"x(T&gt;20)","x"),"-"),ES46)</f>
        <v>5</v>
      </c>
      <c r="X48" s="210"/>
      <c r="Y48" s="215" t="s">
        <v>238</v>
      </c>
      <c r="Z48" s="216" t="s">
        <v>239</v>
      </c>
      <c r="AA48" s="215"/>
      <c r="AB48" s="215"/>
      <c r="AC48" s="215"/>
      <c r="AD48" s="215"/>
      <c r="AE48" s="217"/>
      <c r="AF48" s="217"/>
      <c r="AG48" s="217"/>
      <c r="AH48" s="217"/>
      <c r="AI48" s="217"/>
      <c r="AJ48" s="217"/>
      <c r="AK48" s="212"/>
      <c r="AL48" s="280"/>
      <c r="AM48" s="287" t="s">
        <v>240</v>
      </c>
      <c r="AN48" s="281"/>
      <c r="AO48" s="282"/>
      <c r="AP48" s="282"/>
      <c r="AQ48" s="282"/>
      <c r="AR48" s="280"/>
      <c r="AS48" s="280"/>
      <c r="AW48" s="10"/>
      <c r="AX48" s="60"/>
      <c r="AY48" s="3" t="s">
        <v>206</v>
      </c>
      <c r="AZ48" s="132">
        <f t="shared" si="121"/>
        <v>0</v>
      </c>
      <c r="BA48" s="61"/>
      <c r="BB48" s="6"/>
      <c r="BC48" s="10"/>
      <c r="BD48" s="3"/>
      <c r="BE48" s="3"/>
      <c r="BF48" s="3"/>
      <c r="BG48" s="3"/>
      <c r="BH48" s="3"/>
      <c r="BI48" s="3"/>
      <c r="BJ48" s="3"/>
      <c r="BK48" s="3"/>
      <c r="BL48" s="6"/>
      <c r="BM48" s="10"/>
      <c r="BN48" s="3"/>
      <c r="BO48" s="3"/>
      <c r="BP48" s="10" t="s">
        <v>95</v>
      </c>
      <c r="BQ48" s="38" t="s">
        <v>190</v>
      </c>
      <c r="BR48" s="30">
        <v>5</v>
      </c>
      <c r="BS48" s="38" t="s">
        <v>190</v>
      </c>
      <c r="BT48" s="30">
        <v>8</v>
      </c>
      <c r="BU48" s="38" t="s">
        <v>190</v>
      </c>
      <c r="BV48" s="30">
        <v>5</v>
      </c>
      <c r="BW48" s="38" t="s">
        <v>190</v>
      </c>
      <c r="BX48" s="30">
        <v>5</v>
      </c>
      <c r="BY48" s="38" t="s">
        <v>190</v>
      </c>
      <c r="BZ48" s="30">
        <v>5</v>
      </c>
      <c r="CA48" s="38" t="s">
        <v>190</v>
      </c>
      <c r="CB48" s="30">
        <v>6</v>
      </c>
      <c r="CC48" s="6"/>
      <c r="CD48" s="10"/>
      <c r="CE48" s="3" t="s">
        <v>241</v>
      </c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6"/>
      <c r="CS48" s="10"/>
      <c r="CT48" s="3"/>
      <c r="CU48" s="3"/>
      <c r="CV48" s="3"/>
      <c r="CW48" s="3"/>
      <c r="CX48" s="3"/>
      <c r="CY48" s="3"/>
      <c r="CZ48" s="12">
        <f>CONCATENATE(IF(J36="x",CZ34,""),IF(J37="x",CZ35,""),IF(J38="x",CZ36,""),IF(J39="x",CZ37,""),IF(J40="x",CZ38,""),IF(J41="x",CZ39,""),IF(J42="x",CZ40,""),IF(J43="x",CZ41,""),IF(J44="x",CZ42,""),IF(J45="x",CZ43,""),IF(J46="x",CZ44,""))</f>
      </c>
      <c r="DA48" s="13"/>
      <c r="DB48" s="14"/>
      <c r="DC48" s="3"/>
      <c r="DD48" s="12">
        <f>CONCATENATE(IF(N36="x",DD34,""),IF(N37="x",DD35,""),IF(N38="x",DD36,""),IF(N39="x",DD37,""),IF(N40="x",DD38,""),IF(N41="x",DD39,""),IF(N42="x",DD40,""),IF(N43="x",DD41,""),IF(N44="x",DD42,""),IF(N45="x",DD43,""),IF(N46="x",DD44,""))</f>
      </c>
      <c r="DE48" s="13"/>
      <c r="DF48" s="14"/>
      <c r="DG48" s="3"/>
      <c r="DH48" s="12">
        <f>CONCATENATE(IF(R36="x",DH34,""),IF(R37="x",DH35,""),IF(R38="x",DH36,""),IF(R39="x",DH37,""),IF(R40="x",DH38,""),IF(R41="x",DH39,""),IF(R42="x",DH40,""),IF(R43="x",DH41,""),IF(R44="x",DH42,""),IF(R45="x",DH43,""),IF(R46="x",DH44,""))</f>
      </c>
      <c r="DI48" s="13"/>
      <c r="DJ48" s="14"/>
      <c r="DK48" s="3"/>
      <c r="DL48" s="12">
        <f>CONCATENATE(IF(V36="x",DL34,""),IF(V37="x",DL35,""),IF(V38="x",DL36,""),IF(V39="x",DL37,""),IF(V40="x",DL38,""),IF(V41="x",DL39,""),IF(V42="x",DL40,""),IF(V43="x",DL41,""),IF(V44="x",DL42,""),IF(V45="x",DL43,""),IF(V46="x",DL44,""))</f>
      </c>
      <c r="DM48" s="13"/>
      <c r="DN48" s="14"/>
      <c r="DO48" s="6"/>
      <c r="DP48" s="60"/>
      <c r="DQ48" s="25" t="s">
        <v>242</v>
      </c>
      <c r="DR48" s="110"/>
      <c r="DS48" s="110"/>
      <c r="DT48" s="175"/>
      <c r="DU48" s="175"/>
      <c r="DV48" s="176"/>
      <c r="DW48" s="3"/>
      <c r="DX48" s="3"/>
      <c r="DY48" s="29"/>
      <c r="DZ48" s="29"/>
      <c r="EA48" s="29"/>
      <c r="EB48" s="3"/>
      <c r="EC48" s="3"/>
      <c r="ED48" s="29"/>
      <c r="EE48" s="29"/>
      <c r="EF48" s="29"/>
      <c r="EG48" s="3"/>
      <c r="EH48" s="3"/>
      <c r="EI48" s="29"/>
      <c r="EJ48" s="29"/>
      <c r="EK48" s="29"/>
      <c r="EL48" s="3"/>
      <c r="EM48" s="3"/>
      <c r="EN48" s="29"/>
      <c r="EO48" s="29"/>
      <c r="EP48" s="29"/>
      <c r="EQ48" s="3"/>
      <c r="ER48" s="3"/>
      <c r="ES48" s="29"/>
      <c r="ET48" s="29"/>
      <c r="EU48" s="29"/>
      <c r="EV48" s="61"/>
      <c r="EW48" s="60"/>
      <c r="EX48" s="10"/>
      <c r="EY48" s="234"/>
      <c r="EZ48" s="3"/>
      <c r="FA48" s="3"/>
      <c r="FB48" s="61"/>
      <c r="FC48" s="3"/>
      <c r="FD48" s="60"/>
      <c r="FE48" s="3">
        <f t="shared" si="115"/>
        <v>0</v>
      </c>
      <c r="FF48" s="3">
        <f t="shared" si="116"/>
        <v>0</v>
      </c>
      <c r="FG48" s="3">
        <f t="shared" si="117"/>
        <v>0</v>
      </c>
      <c r="FH48" s="3">
        <f t="shared" si="118"/>
        <v>0</v>
      </c>
      <c r="FI48" s="61"/>
      <c r="FJ48" s="6"/>
      <c r="FK48" s="61"/>
      <c r="FM48" s="190" t="s">
        <v>243</v>
      </c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60"/>
      <c r="GB48" s="3"/>
      <c r="GC48" s="3"/>
      <c r="GD48" s="3"/>
      <c r="GE48" s="3"/>
      <c r="GF48" s="3"/>
      <c r="GG48" s="61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61"/>
      <c r="IM48" s="3"/>
      <c r="IN48" s="3"/>
      <c r="IO48" s="3"/>
      <c r="IP48" s="3"/>
      <c r="IQ48" s="3"/>
      <c r="IR48" s="3"/>
      <c r="IS48" s="3"/>
    </row>
    <row r="49" spans="1:253" ht="12.75" customHeight="1" thickBot="1">
      <c r="A49" s="296"/>
      <c r="B49" s="297"/>
      <c r="C49" s="296"/>
      <c r="D49" s="296"/>
      <c r="E49" s="296"/>
      <c r="F49" s="296"/>
      <c r="X49" s="210"/>
      <c r="Y49" s="215" t="s">
        <v>244</v>
      </c>
      <c r="Z49" s="216" t="s">
        <v>245</v>
      </c>
      <c r="AA49" s="215"/>
      <c r="AB49" s="215"/>
      <c r="AC49" s="215"/>
      <c r="AD49" s="215"/>
      <c r="AE49" s="217"/>
      <c r="AF49" s="217"/>
      <c r="AG49" s="217"/>
      <c r="AH49" s="217"/>
      <c r="AI49" s="217"/>
      <c r="AJ49" s="217"/>
      <c r="AK49" s="212"/>
      <c r="AL49" s="280"/>
      <c r="AM49" s="287" t="s">
        <v>246</v>
      </c>
      <c r="AN49" s="281"/>
      <c r="AO49" s="282"/>
      <c r="AP49" s="282"/>
      <c r="AQ49" s="282"/>
      <c r="AR49" s="280"/>
      <c r="AS49" s="280"/>
      <c r="AW49" s="10"/>
      <c r="AX49" s="60"/>
      <c r="AY49" s="3" t="s">
        <v>210</v>
      </c>
      <c r="AZ49" s="132">
        <f>C11/BI41</f>
        <v>0</v>
      </c>
      <c r="BA49" s="61"/>
      <c r="BB49" s="6"/>
      <c r="BC49" s="10"/>
      <c r="BD49" s="3"/>
      <c r="BE49" s="3"/>
      <c r="BF49" s="3"/>
      <c r="BG49" s="3"/>
      <c r="BH49" s="3"/>
      <c r="BI49" s="3"/>
      <c r="BJ49" s="3"/>
      <c r="BK49" s="3"/>
      <c r="BL49" s="6"/>
      <c r="BM49" s="10"/>
      <c r="BN49" s="3"/>
      <c r="BO49" s="3"/>
      <c r="BP49" s="9" t="s">
        <v>96</v>
      </c>
      <c r="BQ49" s="44"/>
      <c r="BR49" s="45" t="s">
        <v>224</v>
      </c>
      <c r="BS49" s="44"/>
      <c r="BT49" s="45" t="s">
        <v>224</v>
      </c>
      <c r="BU49" s="44" t="s">
        <v>190</v>
      </c>
      <c r="BV49" s="45">
        <v>2.4</v>
      </c>
      <c r="BW49" s="44" t="s">
        <v>190</v>
      </c>
      <c r="BX49" s="45">
        <v>2.4</v>
      </c>
      <c r="BY49" s="44"/>
      <c r="BZ49" s="45" t="s">
        <v>224</v>
      </c>
      <c r="CA49" s="44"/>
      <c r="CB49" s="45" t="s">
        <v>224</v>
      </c>
      <c r="CC49" s="6"/>
      <c r="CD49" s="10"/>
      <c r="CE49" s="3"/>
      <c r="CF49" s="3"/>
      <c r="CG49" s="19">
        <f>SUM(CG35:CG47)</f>
        <v>4</v>
      </c>
      <c r="CH49" s="3"/>
      <c r="CI49" s="19">
        <f>SUM(CI35:CI46)</f>
        <v>2</v>
      </c>
      <c r="CJ49" s="3"/>
      <c r="CK49" s="19">
        <f>SUM(CK35:CK47)</f>
        <v>0</v>
      </c>
      <c r="CL49" s="3"/>
      <c r="CM49" s="19">
        <f>SUM(CM35:CM47)</f>
        <v>3</v>
      </c>
      <c r="CN49" s="3"/>
      <c r="CO49" s="3"/>
      <c r="CP49" s="3"/>
      <c r="CQ49" s="3"/>
      <c r="CR49" s="6"/>
      <c r="CS49" s="10"/>
      <c r="CT49" s="3"/>
      <c r="CU49" s="3"/>
      <c r="CV49" s="3"/>
      <c r="CW49" s="3"/>
      <c r="CX49" s="3"/>
      <c r="CY49" s="38"/>
      <c r="CZ49" s="92">
        <f>IF(J36="x",DB34,IF(J37="x",DB35,IF(J38="x",DB36,IF(J39="x",DB37,IF(J40="x",DB38,IF(J41="x",DB39,IF(J42="x",DB40,IF(J43="x",DB41,0))))))))</f>
        <v>0</v>
      </c>
      <c r="DA49" s="44">
        <f>IF(J44="x",DB42,IF(J45="x",DB43,IF(J46="x",DB44,0)))</f>
        <v>0</v>
      </c>
      <c r="DB49" s="95">
        <f>IF(CZ49=0,DA49,CZ49)</f>
        <v>0</v>
      </c>
      <c r="DC49" s="38"/>
      <c r="DD49" s="92">
        <f>IF(N36="x",DF34,IF(N37="x",DF35,IF(N38="x",DF36,IF(N39="x",DF37,IF(N40="x",DF38,IF(N41="x",DF39,IF(N42="x",DF40,IF(N43="x",DF41,0))))))))</f>
        <v>0</v>
      </c>
      <c r="DE49" s="44">
        <f>IF(N44="x",DF42,IF(N45="x",DF43,IF(N46="x",DF44,0)))</f>
        <v>0</v>
      </c>
      <c r="DF49" s="95">
        <f>IF(DD49=0,DE49,DD49)</f>
        <v>0</v>
      </c>
      <c r="DG49" s="38"/>
      <c r="DH49" s="92">
        <f>IF(R36="x",DJ34,IF(R37="x",DJ35,IF(R38="x",DJ36,IF(R39="x",DJ37,IF(R40="x",DJ38,IF(R41="x",DJ39,IF(R42="x",DJ40,IF(R43="x",DJ41,0))))))))</f>
        <v>0</v>
      </c>
      <c r="DI49" s="44">
        <f>IF(R44="x",DJ42,IF(R45="x",DJ43,IF(R46="x",DJ44,0)))</f>
        <v>0</v>
      </c>
      <c r="DJ49" s="95">
        <f>IF(DH49=0,DI49,DH49)</f>
        <v>0</v>
      </c>
      <c r="DK49" s="38"/>
      <c r="DL49" s="92">
        <f>IF(V36="x",DN34,IF(V37="x",DN35,IF(V38="x",DN36,IF(V39="x",DN37,IF(V40="x",DN38,IF(V41="x",DN39,IF(V42="x",DN40,IF(V43="x",DN41,0))))))))</f>
        <v>0</v>
      </c>
      <c r="DM49" s="44">
        <f>IF(V44="x",DN42,IF(V45="x",DN43,IF(V46="x",DN44,0)))</f>
        <v>0</v>
      </c>
      <c r="DN49" s="95">
        <f>IF(DL49=0,DM49,DL49)</f>
        <v>0</v>
      </c>
      <c r="DO49" s="6"/>
      <c r="DP49" s="60"/>
      <c r="DQ49" s="29"/>
      <c r="DR49" s="3" t="str">
        <f>DR32</f>
        <v>Chrysotil</v>
      </c>
      <c r="DS49" s="3"/>
      <c r="DT49" s="29"/>
      <c r="DU49" s="29"/>
      <c r="DV49" s="29"/>
      <c r="DW49" s="3" t="str">
        <f>DW32</f>
        <v>Anthophyllit</v>
      </c>
      <c r="DX49" s="3"/>
      <c r="DY49" s="29"/>
      <c r="DZ49" s="29"/>
      <c r="EA49" s="29"/>
      <c r="EB49" s="3" t="str">
        <f>EB32</f>
        <v>Tremolith</v>
      </c>
      <c r="EC49" s="3"/>
      <c r="ED49" s="29"/>
      <c r="EE49" s="29"/>
      <c r="EF49" s="29"/>
      <c r="EG49" s="3" t="str">
        <f>EG32</f>
        <v>Aktinolith</v>
      </c>
      <c r="EH49" s="3"/>
      <c r="EI49" s="29"/>
      <c r="EJ49" s="29"/>
      <c r="EK49" s="29"/>
      <c r="EL49" s="3" t="str">
        <f>EL32</f>
        <v>Amosit</v>
      </c>
      <c r="EM49" s="3"/>
      <c r="EN49" s="29"/>
      <c r="EO49" s="29"/>
      <c r="EP49" s="29"/>
      <c r="EQ49" s="3" t="str">
        <f>EQ32</f>
        <v>Krokydolith</v>
      </c>
      <c r="ER49" s="3"/>
      <c r="ES49" s="29"/>
      <c r="ET49" s="29"/>
      <c r="EU49" s="29"/>
      <c r="EV49" s="61"/>
      <c r="EW49" s="60"/>
      <c r="EX49" s="10"/>
      <c r="EY49" s="234"/>
      <c r="EZ49" s="3"/>
      <c r="FA49" s="3"/>
      <c r="FB49" s="61"/>
      <c r="FC49" s="3"/>
      <c r="FD49" s="60"/>
      <c r="FE49" s="3">
        <f t="shared" si="115"/>
        <v>0</v>
      </c>
      <c r="FF49" s="3">
        <f t="shared" si="116"/>
        <v>0</v>
      </c>
      <c r="FG49" s="3">
        <f t="shared" si="117"/>
        <v>0</v>
      </c>
      <c r="FH49" s="3">
        <f t="shared" si="118"/>
        <v>0</v>
      </c>
      <c r="FI49" s="61"/>
      <c r="FJ49" s="6"/>
      <c r="FK49" s="61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60"/>
      <c r="GB49" s="3"/>
      <c r="GC49" s="3"/>
      <c r="GD49" s="3"/>
      <c r="GE49" s="3"/>
      <c r="GF49" s="3"/>
      <c r="GG49" s="61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61"/>
      <c r="IM49" s="3"/>
      <c r="IN49" s="3"/>
      <c r="IO49" s="3"/>
      <c r="IP49" s="3"/>
      <c r="IQ49" s="3"/>
      <c r="IR49" s="3"/>
      <c r="IS49" s="3"/>
    </row>
    <row r="50" spans="2:253" ht="12.75" customHeight="1" thickBot="1">
      <c r="B50" s="185"/>
      <c r="X50" s="210"/>
      <c r="Y50" s="215" t="s">
        <v>247</v>
      </c>
      <c r="Z50" s="216" t="s">
        <v>248</v>
      </c>
      <c r="AA50" s="215"/>
      <c r="AB50" s="215"/>
      <c r="AC50" s="215"/>
      <c r="AD50" s="215"/>
      <c r="AE50" s="217"/>
      <c r="AF50" s="217"/>
      <c r="AG50" s="217"/>
      <c r="AH50" s="217"/>
      <c r="AI50" s="217"/>
      <c r="AJ50" s="217"/>
      <c r="AK50" s="212"/>
      <c r="AL50" s="280"/>
      <c r="AM50" s="287" t="s">
        <v>249</v>
      </c>
      <c r="AN50" s="281"/>
      <c r="AO50" s="282"/>
      <c r="AP50" s="282"/>
      <c r="AQ50" s="282"/>
      <c r="AR50" s="280"/>
      <c r="AS50" s="280"/>
      <c r="AW50" s="10"/>
      <c r="AX50" s="60"/>
      <c r="AY50" s="3" t="s">
        <v>114</v>
      </c>
      <c r="AZ50" s="132">
        <f t="shared" si="121"/>
        <v>0</v>
      </c>
      <c r="BA50" s="61"/>
      <c r="BB50" s="6"/>
      <c r="BC50" s="10"/>
      <c r="BD50" s="3"/>
      <c r="BE50" s="3" t="s">
        <v>250</v>
      </c>
      <c r="BF50" s="3"/>
      <c r="BG50" s="205" t="str">
        <f>CONCATENATE(" ",2*(47.88+15.999*2)," ")</f>
        <v> 159,756 </v>
      </c>
      <c r="BH50" s="3"/>
      <c r="BI50" s="3"/>
      <c r="BJ50" s="3"/>
      <c r="BK50" s="3"/>
      <c r="BL50" s="6"/>
      <c r="BM50" s="10"/>
      <c r="BN50" s="3"/>
      <c r="BO50" s="3"/>
      <c r="BP50" s="3"/>
      <c r="BQ50" s="29"/>
      <c r="BR50" s="3"/>
      <c r="BS50" s="29"/>
      <c r="BT50" s="3"/>
      <c r="BU50" s="29"/>
      <c r="BV50" s="29"/>
      <c r="BW50" s="29"/>
      <c r="BX50" s="3"/>
      <c r="BY50" s="3"/>
      <c r="BZ50" s="3"/>
      <c r="CA50" s="3"/>
      <c r="CB50" s="3"/>
      <c r="CC50" s="6"/>
      <c r="CD50" s="10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6"/>
      <c r="CS50" s="10"/>
      <c r="CT50" s="3"/>
      <c r="CU50" s="3"/>
      <c r="CV50" s="3"/>
      <c r="CW50" s="3"/>
      <c r="CX50" s="3"/>
      <c r="CY50" s="3"/>
      <c r="CZ50" s="114"/>
      <c r="DA50" s="114"/>
      <c r="DB50" s="114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6"/>
      <c r="DP50" s="60"/>
      <c r="DQ50" s="127" t="s">
        <v>65</v>
      </c>
      <c r="DR50" s="179">
        <f aca="true" t="shared" si="122" ref="DR50:DR59">IF($Q$35="n",DR35-DR35/100*$M$35,DR35-DR35/100*$FF$34)</f>
        <v>-1E-05</v>
      </c>
      <c r="DS50" s="180">
        <f aca="true" t="shared" si="123" ref="DS50:DS59">IF($Q$35="n",DS35+DS35/100*$M$35,DS35+DS35/100*$FF$34)</f>
        <v>1.5</v>
      </c>
      <c r="DT50" s="29"/>
      <c r="DU50" s="29"/>
      <c r="DV50" s="127" t="s">
        <v>65</v>
      </c>
      <c r="DW50" s="179">
        <f aca="true" t="shared" si="124" ref="DW50:DW59">IF($Q$35="n",DW35-DW35/100*$M$35,DW35-DW35/100*$FF$34)</f>
        <v>-1E-05</v>
      </c>
      <c r="DX50" s="180">
        <f aca="true" t="shared" si="125" ref="DX50:DX59">IF($Q$35="n",DX35+DX35/100*$M$35,DX35+DX35/100*$FF$34)</f>
        <v>1.5</v>
      </c>
      <c r="DY50" s="29"/>
      <c r="DZ50" s="29"/>
      <c r="EA50" s="127" t="s">
        <v>65</v>
      </c>
      <c r="EB50" s="179">
        <f aca="true" t="shared" si="126" ref="EB50:EB59">IF($Q$35="n",EB35-EB35/100*$M$35,EB35-EB35/100*$FF$34)</f>
        <v>-1E-05</v>
      </c>
      <c r="EC50" s="180">
        <f aca="true" t="shared" si="127" ref="EC50:EC59">IF($Q$35="n",EC35+EC35/100*$M$35,EC35+EC35/100*$FF$34)</f>
        <v>2</v>
      </c>
      <c r="ED50" s="29"/>
      <c r="EE50" s="29"/>
      <c r="EF50" s="127" t="s">
        <v>65</v>
      </c>
      <c r="EG50" s="179">
        <f aca="true" t="shared" si="128" ref="EG50:EG59">IF($Q$35="n",EG35-EG35/100*$M$35,EG35-EG35/100*$FF$34)</f>
        <v>-1E-05</v>
      </c>
      <c r="EH50" s="180">
        <f aca="true" t="shared" si="129" ref="EH50:EH59">IF($Q$35="n",EH35+EH35/100*$M$35,EH35+EH35/100*$FF$34)</f>
        <v>2</v>
      </c>
      <c r="EI50" s="29"/>
      <c r="EJ50" s="29"/>
      <c r="EK50" s="127" t="s">
        <v>65</v>
      </c>
      <c r="EL50" s="179">
        <f aca="true" t="shared" si="130" ref="EL50:EL59">IF($Q$35="n",EL35-EL35/100*$M$35,EL35-EL35/100*$FF$34)</f>
        <v>-1E-05</v>
      </c>
      <c r="EM50" s="180">
        <f aca="true" t="shared" si="131" ref="EM50:EM59">IF($Q$35="n",EM35+EM35/100*$M$35,EM35+EM35/100*$FF$34)</f>
        <v>1.5</v>
      </c>
      <c r="EN50" s="29"/>
      <c r="EO50" s="29"/>
      <c r="EP50" s="127" t="s">
        <v>65</v>
      </c>
      <c r="EQ50" s="179">
        <f aca="true" t="shared" si="132" ref="EQ50:EQ59">IF($Q$35="n",EQ35-EQ35/100*$M$35,EQ35-EQ35/100*$FF$34)</f>
        <v>2.5</v>
      </c>
      <c r="ER50" s="180">
        <f aca="true" t="shared" si="133" ref="ER50:ER59">IF($Q$35="n",ER35+ER35/100*$M$35,ER35+ER35/100*$FF$34)</f>
        <v>8</v>
      </c>
      <c r="ES50" s="29"/>
      <c r="ET50" s="29"/>
      <c r="EU50" s="29"/>
      <c r="EV50" s="61"/>
      <c r="EW50" s="60"/>
      <c r="EX50" s="10"/>
      <c r="EY50" s="11"/>
      <c r="EZ50" s="2"/>
      <c r="FA50" s="2"/>
      <c r="FB50" s="48"/>
      <c r="FC50" s="3"/>
      <c r="FD50" s="60"/>
      <c r="FE50" s="235">
        <v>0</v>
      </c>
      <c r="FF50" s="3">
        <f t="shared" si="116"/>
        <v>0</v>
      </c>
      <c r="FG50" s="3">
        <f t="shared" si="117"/>
        <v>1</v>
      </c>
      <c r="FH50" s="3">
        <f t="shared" si="118"/>
        <v>0</v>
      </c>
      <c r="FI50" s="61"/>
      <c r="FJ50" s="6"/>
      <c r="FK50" s="61"/>
      <c r="FL50" s="145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60"/>
      <c r="GB50" s="3"/>
      <c r="GC50" s="3"/>
      <c r="GD50" s="3"/>
      <c r="GE50" s="3"/>
      <c r="GF50" s="3"/>
      <c r="GG50" s="61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61"/>
      <c r="IM50" s="3"/>
      <c r="IN50" s="3"/>
      <c r="IO50" s="3"/>
      <c r="IP50" s="3"/>
      <c r="IQ50" s="3"/>
      <c r="IR50" s="3"/>
      <c r="IS50" s="3"/>
    </row>
    <row r="51" spans="1:253" ht="12.75" customHeight="1" thickBot="1">
      <c r="A51" s="1" t="s">
        <v>251</v>
      </c>
      <c r="F51"/>
      <c r="X51" s="210"/>
      <c r="Y51" s="215" t="s">
        <v>252</v>
      </c>
      <c r="Z51" s="216" t="s">
        <v>253</v>
      </c>
      <c r="AA51" s="215"/>
      <c r="AB51" s="215"/>
      <c r="AC51" s="215"/>
      <c r="AD51" s="215"/>
      <c r="AE51" s="217"/>
      <c r="AF51" s="217"/>
      <c r="AG51" s="217"/>
      <c r="AH51" s="217"/>
      <c r="AI51" s="217"/>
      <c r="AJ51" s="217"/>
      <c r="AK51" s="212"/>
      <c r="AL51" s="280"/>
      <c r="AM51" s="287" t="s">
        <v>254</v>
      </c>
      <c r="AN51" s="281"/>
      <c r="AO51" s="282"/>
      <c r="AP51" s="282"/>
      <c r="AQ51" s="282"/>
      <c r="AR51" s="280"/>
      <c r="AS51" s="280"/>
      <c r="AW51" s="10"/>
      <c r="AX51" s="60"/>
      <c r="AY51" s="3" t="s">
        <v>116</v>
      </c>
      <c r="AZ51" s="132">
        <f t="shared" si="121"/>
        <v>0</v>
      </c>
      <c r="BA51" s="61"/>
      <c r="BB51" s="6"/>
      <c r="BC51" s="10"/>
      <c r="BD51" s="3"/>
      <c r="BE51" s="3" t="s">
        <v>255</v>
      </c>
      <c r="BF51" s="3"/>
      <c r="BG51" s="205" t="str">
        <f>CONCATENATE(" ",2*47.88+15.999*3," ")</f>
        <v> 143,757 </v>
      </c>
      <c r="BH51" s="3"/>
      <c r="BI51" s="3"/>
      <c r="BJ51" s="3"/>
      <c r="BK51" s="3"/>
      <c r="BL51" s="6"/>
      <c r="BM51" s="10"/>
      <c r="BN51" s="3"/>
      <c r="BO51" s="3"/>
      <c r="BP51" s="3"/>
      <c r="BQ51" s="29"/>
      <c r="BR51" s="3"/>
      <c r="BS51" s="29"/>
      <c r="BT51" s="3"/>
      <c r="BU51" s="29"/>
      <c r="BV51" s="29"/>
      <c r="BW51" s="29"/>
      <c r="BX51" s="3"/>
      <c r="BY51" s="3"/>
      <c r="BZ51" s="3"/>
      <c r="CA51" s="3"/>
      <c r="CB51" s="3"/>
      <c r="CC51" s="6"/>
      <c r="CD51" s="10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6"/>
      <c r="CS51" s="10"/>
      <c r="CT51" s="3"/>
      <c r="CU51" s="3"/>
      <c r="CV51" s="3"/>
      <c r="CW51" s="3"/>
      <c r="CX51" s="3"/>
      <c r="CY51" s="3"/>
      <c r="CZ51" s="3"/>
      <c r="DA51" s="3"/>
      <c r="DB51" s="3" t="s">
        <v>256</v>
      </c>
      <c r="DC51" s="3"/>
      <c r="DD51" s="12">
        <f>IF($Q$35="a",DE51,CONCATENATE(IF(N47="x",DD45,""),IF(N48="x",DD46,"")))</f>
      </c>
      <c r="DE51" s="13">
        <f>CONCATENATE(IF(N47="x",DD45,""),IF(N48="x",DD46,""),IF(N47="x (T&gt;20)",DD45,""),IF(N48="x (T&gt;20)",DD46,""))</f>
      </c>
      <c r="DF51" s="14"/>
      <c r="DG51" s="3"/>
      <c r="DH51" s="12" t="str">
        <f>IF($Q$35="a",DI51,CONCATENATE(IF(R47="x",DH45,""),IF(R48="x",DH46,"")))</f>
        <v>  Tremolit</v>
      </c>
      <c r="DI51" s="13" t="str">
        <f>CONCATENATE(IF(R47="x",DH45,""),IF(R48="x",DH46,""),IF(R47="x (T&gt;20)",DH45,""),IF(R48="x (T&gt;20)",DH46,""))</f>
        <v>  Tremolit</v>
      </c>
      <c r="DJ51" s="14"/>
      <c r="DK51" s="3"/>
      <c r="DL51" s="12">
        <f>IF($Q$35="a",DM51,CONCATENATE(IF(V47="x",DL45,""),IF(V48="x",DL46,"")))</f>
      </c>
      <c r="DM51" s="13">
        <f>CONCATENATE(IF(V47="x",DL45,""),IF(V48="x",DL46,""),IF(V47="x (T&gt;20)",DL45,""),IF(V48="x (T&gt;20)",DL46,""))</f>
      </c>
      <c r="DN51" s="14"/>
      <c r="DO51" s="6"/>
      <c r="DP51" s="60"/>
      <c r="DQ51" s="128" t="s">
        <v>67</v>
      </c>
      <c r="DR51" s="181">
        <f t="shared" si="122"/>
        <v>24</v>
      </c>
      <c r="DS51" s="177">
        <f t="shared" si="123"/>
        <v>33.5</v>
      </c>
      <c r="DT51" s="29"/>
      <c r="DU51" s="29"/>
      <c r="DV51" s="128" t="s">
        <v>67</v>
      </c>
      <c r="DW51" s="181">
        <f t="shared" si="124"/>
        <v>10</v>
      </c>
      <c r="DX51" s="177">
        <f t="shared" si="125"/>
        <v>25</v>
      </c>
      <c r="DY51" s="29"/>
      <c r="DZ51" s="29"/>
      <c r="EA51" s="128" t="s">
        <v>67</v>
      </c>
      <c r="EB51" s="181">
        <f t="shared" si="126"/>
        <v>11.5</v>
      </c>
      <c r="EC51" s="177">
        <f t="shared" si="127"/>
        <v>19</v>
      </c>
      <c r="ED51" s="29"/>
      <c r="EE51" s="29"/>
      <c r="EF51" s="128" t="s">
        <v>67</v>
      </c>
      <c r="EG51" s="181">
        <f t="shared" si="128"/>
        <v>3</v>
      </c>
      <c r="EH51" s="177">
        <f t="shared" si="129"/>
        <v>15</v>
      </c>
      <c r="EI51" s="29"/>
      <c r="EJ51" s="29"/>
      <c r="EK51" s="128" t="s">
        <v>67</v>
      </c>
      <c r="EL51" s="181">
        <f t="shared" si="130"/>
        <v>2</v>
      </c>
      <c r="EM51" s="177">
        <f t="shared" si="131"/>
        <v>12.5</v>
      </c>
      <c r="EN51" s="29"/>
      <c r="EO51" s="29"/>
      <c r="EP51" s="128" t="s">
        <v>67</v>
      </c>
      <c r="EQ51" s="181">
        <f t="shared" si="132"/>
        <v>-1E-05</v>
      </c>
      <c r="ER51" s="177">
        <f t="shared" si="133"/>
        <v>11</v>
      </c>
      <c r="ES51" s="29"/>
      <c r="ET51" s="29"/>
      <c r="EU51" s="29"/>
      <c r="EV51" s="61"/>
      <c r="EW51" s="60"/>
      <c r="EX51" s="10"/>
      <c r="EY51" s="4" t="s">
        <v>257</v>
      </c>
      <c r="EZ51" s="5"/>
      <c r="FA51" s="111">
        <f>SUM(EY36:FB48)</f>
        <v>0</v>
      </c>
      <c r="FB51" s="49"/>
      <c r="FC51" s="3"/>
      <c r="FD51" s="60"/>
      <c r="FE51" s="235">
        <v>0</v>
      </c>
      <c r="FF51" s="3">
        <f t="shared" si="116"/>
        <v>0</v>
      </c>
      <c r="FG51" s="3">
        <f t="shared" si="117"/>
        <v>0</v>
      </c>
      <c r="FH51" s="3">
        <f t="shared" si="118"/>
        <v>0</v>
      </c>
      <c r="FI51" s="61"/>
      <c r="FJ51" s="6"/>
      <c r="FK51" s="61"/>
      <c r="FM51" s="222" t="s">
        <v>208</v>
      </c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60"/>
      <c r="GB51" s="3"/>
      <c r="GC51" s="3"/>
      <c r="GD51" s="3"/>
      <c r="GE51" s="3"/>
      <c r="GF51" s="3"/>
      <c r="GG51" s="61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61"/>
      <c r="IM51" s="3"/>
      <c r="IN51" s="3"/>
      <c r="IO51" s="3"/>
      <c r="IP51" s="3"/>
      <c r="IQ51" s="3"/>
      <c r="IR51" s="3"/>
      <c r="IS51" s="3"/>
    </row>
    <row r="52" spans="6:253" ht="12.75" customHeight="1">
      <c r="F52"/>
      <c r="X52" s="210"/>
      <c r="Y52" s="215" t="s">
        <v>258</v>
      </c>
      <c r="Z52" s="216" t="s">
        <v>259</v>
      </c>
      <c r="AA52" s="215"/>
      <c r="AB52" s="215"/>
      <c r="AC52" s="215"/>
      <c r="AD52" s="215"/>
      <c r="AE52" s="217"/>
      <c r="AF52" s="217"/>
      <c r="AG52" s="217"/>
      <c r="AH52" s="217"/>
      <c r="AI52" s="217"/>
      <c r="AJ52" s="217"/>
      <c r="AK52" s="212"/>
      <c r="AL52" s="280"/>
      <c r="AM52" s="287" t="s">
        <v>260</v>
      </c>
      <c r="AN52" s="281"/>
      <c r="AO52" s="282"/>
      <c r="AP52" s="282"/>
      <c r="AQ52" s="282"/>
      <c r="AR52" s="280"/>
      <c r="AS52" s="280"/>
      <c r="AW52" s="10"/>
      <c r="AX52" s="24" t="s">
        <v>261</v>
      </c>
      <c r="AY52" s="3" t="s">
        <v>118</v>
      </c>
      <c r="AZ52" s="132">
        <f t="shared" si="121"/>
        <v>0</v>
      </c>
      <c r="BA52" s="61"/>
      <c r="BB52" s="6"/>
      <c r="BC52" s="10"/>
      <c r="BD52" s="3"/>
      <c r="BE52" s="3"/>
      <c r="BF52" s="3"/>
      <c r="BG52" s="3"/>
      <c r="BH52" s="3"/>
      <c r="BI52" s="3"/>
      <c r="BJ52" s="3"/>
      <c r="BK52" s="3"/>
      <c r="BL52" s="6"/>
      <c r="BM52" s="10"/>
      <c r="BN52" s="3"/>
      <c r="BO52" s="3"/>
      <c r="BP52" s="3"/>
      <c r="BQ52" s="29"/>
      <c r="BR52" s="3"/>
      <c r="BS52" s="29"/>
      <c r="BT52" s="3"/>
      <c r="BU52" s="29"/>
      <c r="BV52" s="29"/>
      <c r="BW52" s="29"/>
      <c r="BX52" s="3"/>
      <c r="BY52" s="3"/>
      <c r="BZ52" s="3"/>
      <c r="CA52" s="3"/>
      <c r="CB52" s="3"/>
      <c r="CC52" s="6"/>
      <c r="CD52" s="10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6"/>
      <c r="CS52" s="10"/>
      <c r="CT52" s="3"/>
      <c r="CU52" s="3"/>
      <c r="CV52" s="3"/>
      <c r="CW52" s="3" t="s">
        <v>256</v>
      </c>
      <c r="CX52" s="3"/>
      <c r="CY52" s="3"/>
      <c r="CZ52" s="3"/>
      <c r="DA52" s="3"/>
      <c r="DB52" s="3" t="s">
        <v>262</v>
      </c>
      <c r="DC52" s="3"/>
      <c r="DD52" s="92"/>
      <c r="DE52" s="44"/>
      <c r="DF52" s="95">
        <f>IF(N47="x",DF45,IF(N48="x",DF46,0))</f>
        <v>0</v>
      </c>
      <c r="DG52" s="38"/>
      <c r="DH52" s="92"/>
      <c r="DI52" s="44"/>
      <c r="DJ52" s="95">
        <f>IF(R47="x",DJ45,IF(R48="x",DJ46,0))</f>
        <v>3</v>
      </c>
      <c r="DK52" s="38"/>
      <c r="DL52" s="92"/>
      <c r="DM52" s="44"/>
      <c r="DN52" s="95">
        <f>IF(V47="x",DN45,IF(V48="x",DN46,0))</f>
        <v>0</v>
      </c>
      <c r="DO52" s="6"/>
      <c r="DP52" s="60"/>
      <c r="DQ52" s="128" t="s">
        <v>70</v>
      </c>
      <c r="DR52" s="181">
        <f t="shared" si="122"/>
        <v>-1E-05</v>
      </c>
      <c r="DS52" s="177">
        <f t="shared" si="123"/>
        <v>3.5</v>
      </c>
      <c r="DT52" s="29"/>
      <c r="DU52" s="29"/>
      <c r="DV52" s="128" t="s">
        <v>70</v>
      </c>
      <c r="DW52" s="181">
        <f t="shared" si="124"/>
        <v>-1E-05</v>
      </c>
      <c r="DX52" s="177">
        <f t="shared" si="125"/>
        <v>3.5</v>
      </c>
      <c r="DY52" s="29"/>
      <c r="DZ52" s="29"/>
      <c r="EA52" s="128" t="s">
        <v>70</v>
      </c>
      <c r="EB52" s="181">
        <f t="shared" si="126"/>
        <v>-1E-05</v>
      </c>
      <c r="EC52" s="177">
        <f t="shared" si="127"/>
        <v>3.5</v>
      </c>
      <c r="ED52" s="29"/>
      <c r="EE52" s="29"/>
      <c r="EF52" s="128" t="s">
        <v>70</v>
      </c>
      <c r="EG52" s="181">
        <f t="shared" si="128"/>
        <v>-1E-05</v>
      </c>
      <c r="EH52" s="177">
        <f t="shared" si="129"/>
        <v>3.5</v>
      </c>
      <c r="EI52" s="29"/>
      <c r="EJ52" s="29"/>
      <c r="EK52" s="128" t="s">
        <v>70</v>
      </c>
      <c r="EL52" s="181">
        <f t="shared" si="130"/>
        <v>-1E-05</v>
      </c>
      <c r="EM52" s="177">
        <f t="shared" si="131"/>
        <v>3.5</v>
      </c>
      <c r="EN52" s="29"/>
      <c r="EO52" s="29"/>
      <c r="EP52" s="128" t="s">
        <v>70</v>
      </c>
      <c r="EQ52" s="181">
        <f t="shared" si="132"/>
        <v>-1E-05</v>
      </c>
      <c r="ER52" s="177">
        <f t="shared" si="133"/>
        <v>3.5</v>
      </c>
      <c r="ES52" s="29"/>
      <c r="ET52" s="29"/>
      <c r="EU52" s="29"/>
      <c r="EV52" s="61"/>
      <c r="EW52" s="60"/>
      <c r="EX52" s="10"/>
      <c r="EY52" s="11"/>
      <c r="EZ52" s="2"/>
      <c r="FA52" s="2"/>
      <c r="FB52" s="48"/>
      <c r="FC52" s="3"/>
      <c r="FD52" s="11"/>
      <c r="FE52" s="2"/>
      <c r="FF52" s="2"/>
      <c r="FG52" s="2"/>
      <c r="FH52" s="2"/>
      <c r="FI52" s="48"/>
      <c r="FJ52" s="6"/>
      <c r="FK52" s="61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60"/>
      <c r="GB52" s="3"/>
      <c r="GC52" s="3"/>
      <c r="GD52" s="3"/>
      <c r="GE52" s="3"/>
      <c r="GF52" s="3"/>
      <c r="GG52" s="61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61"/>
      <c r="IM52" s="3"/>
      <c r="IN52" s="3"/>
      <c r="IO52" s="3"/>
      <c r="IP52" s="3"/>
      <c r="IQ52" s="3"/>
      <c r="IR52" s="3"/>
      <c r="IS52" s="3"/>
    </row>
    <row r="53" spans="6:253" ht="12.75" customHeight="1" thickBot="1">
      <c r="F53"/>
      <c r="X53" s="210"/>
      <c r="Y53" s="215" t="s">
        <v>263</v>
      </c>
      <c r="Z53" s="216" t="s">
        <v>264</v>
      </c>
      <c r="AA53" s="215"/>
      <c r="AB53" s="215"/>
      <c r="AC53" s="215"/>
      <c r="AD53" s="215"/>
      <c r="AE53" s="217"/>
      <c r="AF53" s="217"/>
      <c r="AG53" s="217"/>
      <c r="AH53" s="217"/>
      <c r="AI53" s="217"/>
      <c r="AJ53" s="217"/>
      <c r="AK53" s="212"/>
      <c r="AL53" s="280"/>
      <c r="AM53" s="287" t="s">
        <v>265</v>
      </c>
      <c r="AN53" s="281"/>
      <c r="AO53" s="282"/>
      <c r="AP53" s="282"/>
      <c r="AQ53" s="282"/>
      <c r="AR53" s="280"/>
      <c r="AS53" s="280"/>
      <c r="AW53" s="10"/>
      <c r="AX53" s="134">
        <f>SUM(AZ44:AZ53)</f>
        <v>0</v>
      </c>
      <c r="AY53" s="5" t="s">
        <v>230</v>
      </c>
      <c r="AZ53" s="133">
        <f>C15/BI46</f>
        <v>0</v>
      </c>
      <c r="BA53" s="49"/>
      <c r="BB53" s="6"/>
      <c r="BC53" s="10"/>
      <c r="BD53" s="3"/>
      <c r="BE53" s="3" t="s">
        <v>266</v>
      </c>
      <c r="BF53" s="3"/>
      <c r="BG53" s="3"/>
      <c r="BH53" s="206">
        <f>BG51/BG50</f>
        <v>0.8998535266281079</v>
      </c>
      <c r="BI53" s="3"/>
      <c r="BJ53" s="3"/>
      <c r="BK53" s="3"/>
      <c r="BL53" s="6"/>
      <c r="BM53" s="10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6"/>
      <c r="CD53" s="10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6"/>
      <c r="CS53" s="10"/>
      <c r="CT53" s="3" t="s">
        <v>267</v>
      </c>
      <c r="CU53" s="3"/>
      <c r="CV53" s="3"/>
      <c r="CW53" s="12" t="str">
        <f>CONCATENATE(IF(J3="ja",H3,""),IF(N3="ja",L3,""),IF(R3="ja",P3,""),IF(V3="ja",T3,""))</f>
        <v>  Tremolit</v>
      </c>
      <c r="CX53" s="14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6"/>
      <c r="DP53" s="60"/>
      <c r="DQ53" s="128" t="s">
        <v>74</v>
      </c>
      <c r="DR53" s="181">
        <f t="shared" si="122"/>
        <v>17</v>
      </c>
      <c r="DS53" s="177">
        <f t="shared" si="123"/>
        <v>26.5</v>
      </c>
      <c r="DT53" s="29"/>
      <c r="DU53" s="29"/>
      <c r="DV53" s="128" t="s">
        <v>74</v>
      </c>
      <c r="DW53" s="181">
        <f t="shared" si="124"/>
        <v>23</v>
      </c>
      <c r="DX53" s="177">
        <f t="shared" si="125"/>
        <v>32</v>
      </c>
      <c r="DY53" s="29"/>
      <c r="DZ53" s="29"/>
      <c r="EA53" s="128" t="s">
        <v>74</v>
      </c>
      <c r="EB53" s="181">
        <f t="shared" si="126"/>
        <v>23</v>
      </c>
      <c r="EC53" s="177">
        <f t="shared" si="127"/>
        <v>31.5</v>
      </c>
      <c r="ED53" s="29"/>
      <c r="EE53" s="29"/>
      <c r="EF53" s="128" t="s">
        <v>74</v>
      </c>
      <c r="EG53" s="181">
        <f t="shared" si="128"/>
        <v>20</v>
      </c>
      <c r="EH53" s="177">
        <f t="shared" si="129"/>
        <v>29.5</v>
      </c>
      <c r="EI53" s="29"/>
      <c r="EJ53" s="29"/>
      <c r="EK53" s="128" t="s">
        <v>74</v>
      </c>
      <c r="EL53" s="181">
        <f t="shared" si="130"/>
        <v>20</v>
      </c>
      <c r="EM53" s="177">
        <f t="shared" si="131"/>
        <v>28.5</v>
      </c>
      <c r="EN53" s="29"/>
      <c r="EO53" s="29"/>
      <c r="EP53" s="128" t="s">
        <v>74</v>
      </c>
      <c r="EQ53" s="181">
        <f t="shared" si="132"/>
        <v>22</v>
      </c>
      <c r="ER53" s="177">
        <f t="shared" si="133"/>
        <v>28</v>
      </c>
      <c r="ES53" s="29"/>
      <c r="ET53" s="29"/>
      <c r="EU53" s="29"/>
      <c r="EV53" s="61"/>
      <c r="EW53" s="60"/>
      <c r="EX53" s="10"/>
      <c r="EY53" s="60"/>
      <c r="EZ53" s="3"/>
      <c r="FA53" s="3"/>
      <c r="FB53" s="61"/>
      <c r="FC53" s="3"/>
      <c r="FD53" s="113"/>
      <c r="FE53" s="114"/>
      <c r="FF53" s="114"/>
      <c r="FG53" s="3"/>
      <c r="FH53" s="3"/>
      <c r="FI53" s="61"/>
      <c r="FJ53" s="6"/>
      <c r="FK53" s="61"/>
      <c r="FM53" s="8" t="s">
        <v>214</v>
      </c>
      <c r="FN53" s="8"/>
      <c r="FO53" s="9" t="s">
        <v>215</v>
      </c>
      <c r="FP53" s="8"/>
      <c r="FQ53" s="8"/>
      <c r="FR53" s="8"/>
      <c r="FS53" s="8"/>
      <c r="FT53" s="8"/>
      <c r="FU53" s="8"/>
      <c r="FV53" s="8"/>
      <c r="FW53" s="8"/>
      <c r="FX53" s="8"/>
      <c r="FY53" s="3"/>
      <c r="FZ53" s="3"/>
      <c r="GA53" s="60"/>
      <c r="GB53" s="3"/>
      <c r="GC53" s="3"/>
      <c r="GD53" s="3"/>
      <c r="GE53" s="3"/>
      <c r="GF53" s="3"/>
      <c r="GG53" s="61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61"/>
      <c r="IM53" s="3"/>
      <c r="IN53" s="3"/>
      <c r="IO53" s="3"/>
      <c r="IP53" s="3"/>
      <c r="IQ53" s="3"/>
      <c r="IR53" s="3"/>
      <c r="IS53" s="3"/>
    </row>
    <row r="54" spans="6:250" ht="12.75" customHeight="1" thickBot="1">
      <c r="F54"/>
      <c r="H54"/>
      <c r="I54"/>
      <c r="J54"/>
      <c r="K54"/>
      <c r="L54"/>
      <c r="M54"/>
      <c r="N54"/>
      <c r="O54"/>
      <c r="P54"/>
      <c r="Q54"/>
      <c r="R54"/>
      <c r="X54" s="210"/>
      <c r="Y54" s="215" t="s">
        <v>268</v>
      </c>
      <c r="Z54" s="216" t="s">
        <v>269</v>
      </c>
      <c r="AA54" s="215"/>
      <c r="AB54" s="215"/>
      <c r="AC54" s="215"/>
      <c r="AD54" s="215"/>
      <c r="AE54" s="217"/>
      <c r="AF54" s="217"/>
      <c r="AG54" s="217"/>
      <c r="AH54" s="217"/>
      <c r="AI54" s="217"/>
      <c r="AJ54" s="217"/>
      <c r="AK54" s="212"/>
      <c r="AL54" s="280"/>
      <c r="AM54" s="287" t="s">
        <v>270</v>
      </c>
      <c r="AN54" s="281"/>
      <c r="AO54" s="282"/>
      <c r="AP54" s="282"/>
      <c r="AQ54" s="282"/>
      <c r="AR54" s="280"/>
      <c r="AS54" s="280"/>
      <c r="AW54" s="10"/>
      <c r="AX54" s="184"/>
      <c r="AY54" s="3"/>
      <c r="AZ54" s="132"/>
      <c r="BA54" s="3"/>
      <c r="BB54" s="6"/>
      <c r="BC54" s="10"/>
      <c r="BD54" s="3"/>
      <c r="BE54" s="3" t="s">
        <v>271</v>
      </c>
      <c r="BF54" s="3"/>
      <c r="BG54" s="3"/>
      <c r="BH54" s="206">
        <f>BG50/BG51</f>
        <v>1.1112919718691958</v>
      </c>
      <c r="BI54" s="3"/>
      <c r="BJ54" s="3"/>
      <c r="BK54" s="3"/>
      <c r="BL54" s="6"/>
      <c r="BM54" s="10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6"/>
      <c r="CD54" s="10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6"/>
      <c r="CS54" s="10"/>
      <c r="CT54" s="3" t="s">
        <v>272</v>
      </c>
      <c r="CU54" s="3"/>
      <c r="CV54" s="3"/>
      <c r="CW54" s="94">
        <f>IF(J3="ja",CX36,IF(N3="ja",CX37,IF(R3="ja",CX38,IF(V3="ja",CX39,0))))</f>
        <v>3</v>
      </c>
      <c r="CX54" s="93"/>
      <c r="CY54" s="3"/>
      <c r="CZ54" s="3"/>
      <c r="DA54" s="3"/>
      <c r="DB54" s="12" t="s">
        <v>273</v>
      </c>
      <c r="DC54" s="13"/>
      <c r="DD54" s="13"/>
      <c r="DE54" s="14">
        <f>IF(DB49&gt;0,DB49,IF(DF49&gt;0,DF49,IF(DJ49&gt;0,DJ49,IF(DN49&gt;0,DN49,0))))</f>
        <v>0</v>
      </c>
      <c r="DF54" s="3"/>
      <c r="DG54" s="3"/>
      <c r="DH54" s="3"/>
      <c r="DI54" s="3"/>
      <c r="DJ54" s="3"/>
      <c r="DK54" s="3"/>
      <c r="DL54" s="3"/>
      <c r="DM54" s="3"/>
      <c r="DN54" s="3"/>
      <c r="DO54" s="6"/>
      <c r="DP54" s="60"/>
      <c r="DQ54" s="128" t="s">
        <v>77</v>
      </c>
      <c r="DR54" s="181">
        <f t="shared" si="122"/>
        <v>-1E-05</v>
      </c>
      <c r="DS54" s="177">
        <f t="shared" si="123"/>
        <v>1</v>
      </c>
      <c r="DT54" s="29"/>
      <c r="DU54" s="29"/>
      <c r="DV54" s="128" t="s">
        <v>77</v>
      </c>
      <c r="DW54" s="181">
        <f t="shared" si="124"/>
        <v>-1E-05</v>
      </c>
      <c r="DX54" s="177">
        <f t="shared" si="125"/>
        <v>1</v>
      </c>
      <c r="DY54" s="29"/>
      <c r="DZ54" s="29"/>
      <c r="EA54" s="128" t="s">
        <v>77</v>
      </c>
      <c r="EB54" s="181">
        <f t="shared" si="126"/>
        <v>-1E-05</v>
      </c>
      <c r="EC54" s="177">
        <f t="shared" si="127"/>
        <v>1</v>
      </c>
      <c r="ED54" s="29"/>
      <c r="EE54" s="29"/>
      <c r="EF54" s="128" t="s">
        <v>77</v>
      </c>
      <c r="EG54" s="181">
        <f t="shared" si="128"/>
        <v>-1E-05</v>
      </c>
      <c r="EH54" s="177">
        <f t="shared" si="129"/>
        <v>1</v>
      </c>
      <c r="EI54" s="29"/>
      <c r="EJ54" s="29"/>
      <c r="EK54" s="128" t="s">
        <v>77</v>
      </c>
      <c r="EL54" s="181">
        <f t="shared" si="130"/>
        <v>-1E-05</v>
      </c>
      <c r="EM54" s="177">
        <f t="shared" si="131"/>
        <v>1</v>
      </c>
      <c r="EN54" s="29"/>
      <c r="EO54" s="29"/>
      <c r="EP54" s="128" t="s">
        <v>77</v>
      </c>
      <c r="EQ54" s="181">
        <f t="shared" si="132"/>
        <v>-1E-05</v>
      </c>
      <c r="ER54" s="177">
        <f t="shared" si="133"/>
        <v>1</v>
      </c>
      <c r="ES54" s="29"/>
      <c r="ET54" s="29"/>
      <c r="EU54" s="29"/>
      <c r="EV54" s="61"/>
      <c r="EW54" s="60"/>
      <c r="EX54" s="10"/>
      <c r="EY54" s="60" t="s">
        <v>274</v>
      </c>
      <c r="EZ54" s="3"/>
      <c r="FA54" s="3"/>
      <c r="FB54" s="61"/>
      <c r="FC54" s="3"/>
      <c r="FD54" s="113" t="s">
        <v>275</v>
      </c>
      <c r="FE54" s="112">
        <f>IF(Q35="j",IF(FI54&lt;99,IF(SUM(FE39:FH51)&gt;0,FI54,FI54+1),99),0)</f>
        <v>0</v>
      </c>
      <c r="FF54" s="114"/>
      <c r="FG54" s="3"/>
      <c r="FH54" s="3"/>
      <c r="FI54" s="111">
        <f>IF(Q35="j",FE54,0)</f>
        <v>0</v>
      </c>
      <c r="FJ54" s="6"/>
      <c r="FK54" s="61"/>
      <c r="FM54" s="3" t="s">
        <v>218</v>
      </c>
      <c r="FN54" s="3"/>
      <c r="FO54" s="10" t="s">
        <v>219</v>
      </c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60"/>
      <c r="GB54" s="3"/>
      <c r="GC54" s="3"/>
      <c r="GD54" s="3"/>
      <c r="GE54" s="3"/>
      <c r="GF54" s="3"/>
      <c r="GG54" s="61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61"/>
      <c r="IM54" s="3"/>
      <c r="IN54" s="3"/>
      <c r="IO54" s="3"/>
      <c r="IP54" s="3"/>
    </row>
    <row r="55" spans="3:253" ht="12.75" customHeight="1" thickBot="1">
      <c r="C55"/>
      <c r="D55"/>
      <c r="E55"/>
      <c r="F55"/>
      <c r="H55"/>
      <c r="I55"/>
      <c r="J55"/>
      <c r="K55"/>
      <c r="L55"/>
      <c r="M55"/>
      <c r="N55"/>
      <c r="O55"/>
      <c r="P55"/>
      <c r="Q55"/>
      <c r="R55"/>
      <c r="X55" s="210"/>
      <c r="Y55" s="215" t="s">
        <v>276</v>
      </c>
      <c r="Z55" s="216" t="s">
        <v>277</v>
      </c>
      <c r="AA55" s="215"/>
      <c r="AB55" s="215"/>
      <c r="AC55" s="215"/>
      <c r="AD55" s="215"/>
      <c r="AE55" s="217"/>
      <c r="AF55" s="217"/>
      <c r="AG55" s="217"/>
      <c r="AH55" s="217"/>
      <c r="AI55" s="217"/>
      <c r="AJ55" s="217"/>
      <c r="AK55" s="212"/>
      <c r="AL55" s="280"/>
      <c r="AM55" s="280"/>
      <c r="AN55" s="280"/>
      <c r="AO55" s="280"/>
      <c r="AP55" s="280"/>
      <c r="AQ55" s="280"/>
      <c r="AR55" s="280"/>
      <c r="AS55" s="280"/>
      <c r="AW55" s="10" t="s">
        <v>278</v>
      </c>
      <c r="AX55" s="184"/>
      <c r="AY55" s="3"/>
      <c r="AZ55" s="132"/>
      <c r="BA55" s="3"/>
      <c r="BB55" s="6"/>
      <c r="BC55" s="10"/>
      <c r="BD55" s="3"/>
      <c r="BE55" s="3"/>
      <c r="BF55" s="3"/>
      <c r="BG55" s="3"/>
      <c r="BH55" s="3"/>
      <c r="BI55" s="3"/>
      <c r="BJ55" s="3"/>
      <c r="BK55" s="3"/>
      <c r="BL55" s="6"/>
      <c r="BM55" s="10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6"/>
      <c r="CD55" s="10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6"/>
      <c r="CS55" s="10"/>
      <c r="CT55" s="3"/>
      <c r="CU55" s="3"/>
      <c r="CV55" s="3"/>
      <c r="CW55" s="3"/>
      <c r="CX55" s="3"/>
      <c r="CY55" s="3"/>
      <c r="CZ55" s="3"/>
      <c r="DA55" s="3"/>
      <c r="DB55" s="9" t="s">
        <v>279</v>
      </c>
      <c r="DC55" s="8"/>
      <c r="DD55" s="8"/>
      <c r="DE55" s="7">
        <f>IF(DF52&gt;0,DF52,IF(DJ52&gt;0,DJ52,IF(DN52&gt;0,DN52,0)))</f>
        <v>3</v>
      </c>
      <c r="DF55" s="3"/>
      <c r="DG55" s="3"/>
      <c r="DH55" s="3"/>
      <c r="DI55" s="3"/>
      <c r="DJ55" s="3"/>
      <c r="DK55" s="3"/>
      <c r="DL55" s="3"/>
      <c r="DM55" s="3"/>
      <c r="DN55" s="3"/>
      <c r="DO55" s="6"/>
      <c r="DP55" s="60"/>
      <c r="DQ55" s="128" t="s">
        <v>79</v>
      </c>
      <c r="DR55" s="181">
        <f t="shared" si="122"/>
        <v>-1E-05</v>
      </c>
      <c r="DS55" s="177">
        <f t="shared" si="123"/>
        <v>1</v>
      </c>
      <c r="DT55" s="29"/>
      <c r="DU55" s="29"/>
      <c r="DV55" s="128" t="s">
        <v>79</v>
      </c>
      <c r="DW55" s="181">
        <f t="shared" si="124"/>
        <v>-1E-05</v>
      </c>
      <c r="DX55" s="177">
        <f t="shared" si="125"/>
        <v>1.5</v>
      </c>
      <c r="DY55" s="29"/>
      <c r="DZ55" s="29"/>
      <c r="EA55" s="128" t="s">
        <v>79</v>
      </c>
      <c r="EB55" s="181">
        <f t="shared" si="126"/>
        <v>-1E-05</v>
      </c>
      <c r="EC55" s="177">
        <f t="shared" si="127"/>
        <v>1.5</v>
      </c>
      <c r="ED55" s="29"/>
      <c r="EE55" s="29"/>
      <c r="EF55" s="128" t="s">
        <v>79</v>
      </c>
      <c r="EG55" s="181">
        <f t="shared" si="128"/>
        <v>-1E-05</v>
      </c>
      <c r="EH55" s="177">
        <f t="shared" si="129"/>
        <v>1.5</v>
      </c>
      <c r="EI55" s="29"/>
      <c r="EJ55" s="29"/>
      <c r="EK55" s="128" t="s">
        <v>79</v>
      </c>
      <c r="EL55" s="181">
        <f t="shared" si="130"/>
        <v>-1E-05</v>
      </c>
      <c r="EM55" s="177">
        <f t="shared" si="131"/>
        <v>1</v>
      </c>
      <c r="EN55" s="29"/>
      <c r="EO55" s="29"/>
      <c r="EP55" s="128" t="s">
        <v>79</v>
      </c>
      <c r="EQ55" s="181">
        <f t="shared" si="132"/>
        <v>-1E-05</v>
      </c>
      <c r="ER55" s="177">
        <f t="shared" si="133"/>
        <v>1</v>
      </c>
      <c r="ES55" s="29"/>
      <c r="ET55" s="29"/>
      <c r="EU55" s="29"/>
      <c r="EV55" s="61"/>
      <c r="EW55" s="60"/>
      <c r="EX55" s="10"/>
      <c r="EY55" s="269">
        <f>IF($Q$35="m",IF(EZ55&lt;99,IF(SUM(EY36:FB46)&gt;0,EZ55,EZ55+1),99),0)</f>
        <v>0</v>
      </c>
      <c r="EZ55" s="111">
        <f>IF($Q$35="m",EY55,0)</f>
        <v>0</v>
      </c>
      <c r="FA55" s="5"/>
      <c r="FB55" s="49"/>
      <c r="FC55" s="3"/>
      <c r="FD55" s="115"/>
      <c r="FE55" s="116"/>
      <c r="FF55" s="116"/>
      <c r="FG55" s="5"/>
      <c r="FH55" s="5"/>
      <c r="FI55" s="49"/>
      <c r="FJ55" s="6"/>
      <c r="FK55" s="61"/>
      <c r="FM55" s="3" t="s">
        <v>221</v>
      </c>
      <c r="FN55" s="3"/>
      <c r="FO55" s="10" t="s">
        <v>222</v>
      </c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60"/>
      <c r="GB55" s="3"/>
      <c r="GC55" s="3"/>
      <c r="GD55" s="3"/>
      <c r="GE55" s="3"/>
      <c r="GF55" s="3"/>
      <c r="GG55" s="61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61"/>
      <c r="IM55" s="3"/>
      <c r="IN55" s="3"/>
      <c r="IO55" s="3"/>
      <c r="IP55" s="3"/>
      <c r="IQ55" s="3"/>
      <c r="IR55" s="3"/>
      <c r="IS55" s="3"/>
    </row>
    <row r="56" spans="2:253" ht="12.75" customHeight="1">
      <c r="B56"/>
      <c r="C56"/>
      <c r="D56"/>
      <c r="E56"/>
      <c r="F56"/>
      <c r="H56"/>
      <c r="I56"/>
      <c r="J56"/>
      <c r="K56"/>
      <c r="L56"/>
      <c r="M56"/>
      <c r="N56"/>
      <c r="O56"/>
      <c r="P56"/>
      <c r="Q56"/>
      <c r="R56"/>
      <c r="X56" s="210"/>
      <c r="Y56" s="215" t="s">
        <v>280</v>
      </c>
      <c r="Z56" s="216" t="s">
        <v>281</v>
      </c>
      <c r="AA56" s="215"/>
      <c r="AB56" s="215"/>
      <c r="AC56" s="215"/>
      <c r="AD56" s="215"/>
      <c r="AE56" s="217"/>
      <c r="AF56" s="217"/>
      <c r="AG56" s="217"/>
      <c r="AH56" s="217"/>
      <c r="AI56" s="217"/>
      <c r="AJ56" s="217"/>
      <c r="AK56" s="212"/>
      <c r="AL56" s="280"/>
      <c r="AM56" s="280"/>
      <c r="AN56" s="280"/>
      <c r="AO56" s="280"/>
      <c r="AP56" s="280"/>
      <c r="AQ56" s="280"/>
      <c r="AR56" s="280"/>
      <c r="AS56" s="280"/>
      <c r="AW56" s="10" t="s">
        <v>282</v>
      </c>
      <c r="AX56" s="184"/>
      <c r="AY56" s="3"/>
      <c r="AZ56" s="132"/>
      <c r="BA56" s="3"/>
      <c r="BB56" s="6"/>
      <c r="BC56" s="10"/>
      <c r="BD56" s="3"/>
      <c r="BE56" s="3"/>
      <c r="BF56" s="3"/>
      <c r="BG56" s="3"/>
      <c r="BH56" s="3"/>
      <c r="BI56" s="3"/>
      <c r="BJ56" s="3"/>
      <c r="BK56" s="3"/>
      <c r="BL56" s="6"/>
      <c r="BM56" s="10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6"/>
      <c r="CD56" s="10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6"/>
      <c r="CS56" s="10"/>
      <c r="CT56" s="3" t="s">
        <v>283</v>
      </c>
      <c r="CU56" s="3"/>
      <c r="CV56" s="3"/>
      <c r="CW56" s="12" t="str">
        <f>IF(CONCATENATE(CW53,CZ48,DD48,DH48,DL48,DD51,DH51,DL51)="","Keine Identifizierung",IF(CW53="",IF(CONCATENATE(DD51,DH51,DL51)="",CONCATENATE(CZ48,DD48,DH48,DL48),CONCATENATE(DD51,DH51,DL51)),CW53))</f>
        <v>  Tremolit</v>
      </c>
      <c r="CX56" s="14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6"/>
      <c r="DP56" s="60"/>
      <c r="DQ56" s="128" t="s">
        <v>81</v>
      </c>
      <c r="DR56" s="181">
        <f>IF($Q$35="n",DR41-DR41/100*$M$35,DR41-DR41/100*$FF$34)</f>
        <v>-1E-05</v>
      </c>
      <c r="DS56" s="177">
        <f>IF($Q$35="n",DS41+DS41/100*$M$35,DS41+DS41/100*$FF$34)</f>
        <v>3.5</v>
      </c>
      <c r="DT56" s="29"/>
      <c r="DU56" s="29"/>
      <c r="DV56" s="128" t="s">
        <v>81</v>
      </c>
      <c r="DW56" s="181">
        <f>IF($Q$35="n",DW41-DW41/100*$M$35,DW41-DW41/100*$FF$34)</f>
        <v>-1E-05</v>
      </c>
      <c r="DX56" s="177">
        <f>IF($Q$35="n",DX41+DX41/100*$M$35,DX41+DX41/100*$FF$34)</f>
        <v>3.5</v>
      </c>
      <c r="DY56" s="29"/>
      <c r="DZ56" s="29"/>
      <c r="EA56" s="128" t="s">
        <v>81</v>
      </c>
      <c r="EB56" s="181">
        <f>IF($Q$35="n",EB41-EB41/100*$M$35,EB41-EB41/100*$FF$34)</f>
        <v>5</v>
      </c>
      <c r="EC56" s="177">
        <f>IF($Q$35="n",EC41+EC41/100*$M$35,EC41+EC41/100*$FF$34)</f>
        <v>13</v>
      </c>
      <c r="ED56" s="29"/>
      <c r="EE56" s="29"/>
      <c r="EF56" s="128" t="s">
        <v>81</v>
      </c>
      <c r="EG56" s="181">
        <f>IF($Q$35="n",EG41-EG41/100*$M$35,EG41-EG41/100*$FF$34)</f>
        <v>5</v>
      </c>
      <c r="EH56" s="177">
        <f>IF($Q$35="n",EH41+EH41/100*$M$35,EH41+EH41/100*$FF$34)</f>
        <v>12.5</v>
      </c>
      <c r="EI56" s="29"/>
      <c r="EJ56" s="29"/>
      <c r="EK56" s="128" t="s">
        <v>81</v>
      </c>
      <c r="EL56" s="181">
        <f>IF($Q$35="n",EL41-EL41/100*$M$35,EL41-EL41/100*$FF$34)</f>
        <v>-1E-05</v>
      </c>
      <c r="EM56" s="177">
        <f>IF($Q$35="n",EM41+EM41/100*$M$35,EM41+EM41/100*$FF$34)</f>
        <v>3.5</v>
      </c>
      <c r="EN56" s="29"/>
      <c r="EO56" s="29"/>
      <c r="EP56" s="128" t="s">
        <v>81</v>
      </c>
      <c r="EQ56" s="181">
        <f>IF($Q$35="n",EQ41-EQ41/100*$M$35,EQ41-EQ41/100*$FF$34)</f>
        <v>-1E-05</v>
      </c>
      <c r="ER56" s="177">
        <f>IF($Q$35="n",ER41+ER41/100*$M$35,ER41+ER41/100*$FF$34)</f>
        <v>3.5</v>
      </c>
      <c r="ES56" s="29"/>
      <c r="ET56" s="29"/>
      <c r="EU56" s="29"/>
      <c r="EV56" s="61"/>
      <c r="EW56" s="60"/>
      <c r="EX56" s="9"/>
      <c r="EY56" s="8"/>
      <c r="EZ56" s="8"/>
      <c r="FA56" s="8"/>
      <c r="FB56" s="8"/>
      <c r="FC56" s="8"/>
      <c r="FD56" s="267"/>
      <c r="FE56" s="267"/>
      <c r="FF56" s="267"/>
      <c r="FG56" s="268"/>
      <c r="FH56" s="268"/>
      <c r="FI56" s="268"/>
      <c r="FJ56" s="7"/>
      <c r="FK56" s="61"/>
      <c r="FL56" s="3"/>
      <c r="FM56" s="3" t="s">
        <v>225</v>
      </c>
      <c r="FN56" s="3"/>
      <c r="FO56" s="10" t="s">
        <v>226</v>
      </c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60"/>
      <c r="GB56" s="3"/>
      <c r="GC56" s="3"/>
      <c r="GD56" s="3"/>
      <c r="GE56" s="3"/>
      <c r="GF56" s="3"/>
      <c r="GG56" s="61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61"/>
      <c r="IM56" s="3"/>
      <c r="IN56" s="3"/>
      <c r="IO56" s="3"/>
      <c r="IP56" s="3"/>
      <c r="IQ56" s="3"/>
      <c r="IR56" s="3"/>
      <c r="IS56" s="3"/>
    </row>
    <row r="57" spans="2:253" ht="12.75" customHeight="1" thickBot="1">
      <c r="B57"/>
      <c r="C57"/>
      <c r="D57"/>
      <c r="E57"/>
      <c r="F57" s="304"/>
      <c r="G57" s="280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280"/>
      <c r="T57" s="280"/>
      <c r="U57" s="280"/>
      <c r="V57" s="280"/>
      <c r="X57" s="210"/>
      <c r="Y57" s="215" t="s">
        <v>284</v>
      </c>
      <c r="Z57" s="216" t="s">
        <v>285</v>
      </c>
      <c r="AA57" s="215"/>
      <c r="AB57" s="215"/>
      <c r="AC57" s="215"/>
      <c r="AD57" s="215"/>
      <c r="AE57" s="217"/>
      <c r="AF57" s="217"/>
      <c r="AG57" s="217"/>
      <c r="AH57" s="217"/>
      <c r="AI57" s="217"/>
      <c r="AJ57" s="217"/>
      <c r="AK57" s="212"/>
      <c r="AW57" s="9" t="s">
        <v>286</v>
      </c>
      <c r="AX57" s="200"/>
      <c r="AY57" s="8"/>
      <c r="AZ57" s="201">
        <f>IF(F26="-",1,IF(F26&gt;3,1,0))</f>
        <v>1</v>
      </c>
      <c r="BA57" s="8"/>
      <c r="BB57" s="7"/>
      <c r="BC57" s="9"/>
      <c r="BD57" s="8"/>
      <c r="BE57" s="8"/>
      <c r="BF57" s="8"/>
      <c r="BG57" s="8"/>
      <c r="BH57" s="8"/>
      <c r="BI57" s="8"/>
      <c r="BJ57" s="8"/>
      <c r="BK57" s="8"/>
      <c r="BL57" s="7"/>
      <c r="BM57" s="9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7"/>
      <c r="CD57" s="9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7"/>
      <c r="CS57" s="9"/>
      <c r="CT57" s="8" t="s">
        <v>287</v>
      </c>
      <c r="CU57" s="8"/>
      <c r="CV57" s="8"/>
      <c r="CW57" s="9">
        <f>IF(CW54&gt;0,CW54,IF(DE55&gt;0,DE55,IF(DB49&gt;0,DB49,IF(DF49&gt;0,DF49,IF(DJ49&gt;0,DJ49,IF(DN49&gt;0,DN49,0))))))</f>
        <v>3</v>
      </c>
      <c r="CX57" s="7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60"/>
      <c r="DQ57" s="128" t="s">
        <v>83</v>
      </c>
      <c r="DR57" s="181">
        <f t="shared" si="122"/>
        <v>-1E-05</v>
      </c>
      <c r="DS57" s="177">
        <f t="shared" si="123"/>
        <v>1</v>
      </c>
      <c r="DT57" s="29"/>
      <c r="DU57" s="29"/>
      <c r="DV57" s="128" t="s">
        <v>83</v>
      </c>
      <c r="DW57" s="181">
        <f t="shared" si="124"/>
        <v>-1E-05</v>
      </c>
      <c r="DX57" s="177">
        <f t="shared" si="125"/>
        <v>1.5</v>
      </c>
      <c r="DY57" s="29"/>
      <c r="DZ57" s="29"/>
      <c r="EA57" s="128" t="s">
        <v>83</v>
      </c>
      <c r="EB57" s="181">
        <f t="shared" si="126"/>
        <v>-1E-05</v>
      </c>
      <c r="EC57" s="177">
        <f t="shared" si="127"/>
        <v>1</v>
      </c>
      <c r="ED57" s="29"/>
      <c r="EE57" s="29"/>
      <c r="EF57" s="128" t="s">
        <v>83</v>
      </c>
      <c r="EG57" s="181">
        <f t="shared" si="128"/>
        <v>-1E-05</v>
      </c>
      <c r="EH57" s="177">
        <f t="shared" si="129"/>
        <v>1</v>
      </c>
      <c r="EI57" s="29"/>
      <c r="EJ57" s="29"/>
      <c r="EK57" s="128" t="s">
        <v>83</v>
      </c>
      <c r="EL57" s="181">
        <f t="shared" si="130"/>
        <v>-1E-05</v>
      </c>
      <c r="EM57" s="177">
        <f t="shared" si="131"/>
        <v>1.5</v>
      </c>
      <c r="EN57" s="29"/>
      <c r="EO57" s="29"/>
      <c r="EP57" s="128" t="s">
        <v>83</v>
      </c>
      <c r="EQ57" s="181">
        <f t="shared" si="132"/>
        <v>-1E-05</v>
      </c>
      <c r="ER57" s="177">
        <f t="shared" si="133"/>
        <v>1</v>
      </c>
      <c r="ES57" s="29"/>
      <c r="ET57" s="29"/>
      <c r="EU57" s="29"/>
      <c r="EV57" s="61"/>
      <c r="EW57" s="60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61"/>
      <c r="FM57" s="3"/>
      <c r="FN57" s="3"/>
      <c r="FO57" s="10" t="s">
        <v>229</v>
      </c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60"/>
      <c r="GB57" s="3"/>
      <c r="GC57" s="3"/>
      <c r="GD57" s="3"/>
      <c r="GE57" s="3"/>
      <c r="GF57" s="3"/>
      <c r="GG57" s="61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61"/>
      <c r="IM57" s="3"/>
      <c r="IN57" s="3"/>
      <c r="IO57" s="3"/>
      <c r="IP57" s="3"/>
      <c r="IQ57" s="3"/>
      <c r="IR57" s="3"/>
      <c r="IS57" s="3"/>
    </row>
    <row r="58" spans="2:253" ht="18.75" customHeight="1" thickBot="1">
      <c r="B58"/>
      <c r="C58"/>
      <c r="D58"/>
      <c r="E58"/>
      <c r="F58" s="305" t="s">
        <v>291</v>
      </c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4"/>
      <c r="R58" s="304"/>
      <c r="S58" s="280"/>
      <c r="T58" s="280"/>
      <c r="U58" s="280"/>
      <c r="V58" s="280"/>
      <c r="X58" s="210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  <c r="AW58" s="3"/>
      <c r="AX58" s="184"/>
      <c r="AY58" s="3"/>
      <c r="AZ58" s="132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60"/>
      <c r="DQ58" s="128" t="s">
        <v>85</v>
      </c>
      <c r="DR58" s="181">
        <f t="shared" si="122"/>
        <v>-1E-05</v>
      </c>
      <c r="DS58" s="177">
        <f t="shared" si="123"/>
        <v>6</v>
      </c>
      <c r="DT58" s="29"/>
      <c r="DU58" s="29"/>
      <c r="DV58" s="128" t="s">
        <v>85</v>
      </c>
      <c r="DW58" s="181">
        <f t="shared" si="124"/>
        <v>3</v>
      </c>
      <c r="DX58" s="177">
        <f t="shared" si="125"/>
        <v>17</v>
      </c>
      <c r="DY58" s="29"/>
      <c r="DZ58" s="29"/>
      <c r="EA58" s="128" t="s">
        <v>85</v>
      </c>
      <c r="EB58" s="181">
        <f t="shared" si="126"/>
        <v>-1E-05</v>
      </c>
      <c r="EC58" s="177">
        <f t="shared" si="127"/>
        <v>6</v>
      </c>
      <c r="ED58" s="29"/>
      <c r="EE58" s="29"/>
      <c r="EF58" s="128" t="s">
        <v>85</v>
      </c>
      <c r="EG58" s="181">
        <f t="shared" si="128"/>
        <v>5</v>
      </c>
      <c r="EH58" s="177">
        <f t="shared" si="129"/>
        <v>22.5</v>
      </c>
      <c r="EI58" s="29"/>
      <c r="EJ58" s="29"/>
      <c r="EK58" s="128" t="s">
        <v>85</v>
      </c>
      <c r="EL58" s="181">
        <f t="shared" si="130"/>
        <v>15</v>
      </c>
      <c r="EM58" s="177">
        <f t="shared" si="131"/>
        <v>38</v>
      </c>
      <c r="EN58" s="29"/>
      <c r="EO58" s="29"/>
      <c r="EP58" s="128" t="s">
        <v>85</v>
      </c>
      <c r="EQ58" s="181">
        <f t="shared" si="132"/>
        <v>10</v>
      </c>
      <c r="ER58" s="177">
        <f t="shared" si="133"/>
        <v>33</v>
      </c>
      <c r="ES58" s="29"/>
      <c r="ET58" s="29"/>
      <c r="EU58" s="29"/>
      <c r="EV58" s="61"/>
      <c r="EW58" s="60"/>
      <c r="EX58" s="3"/>
      <c r="EY58" s="3"/>
      <c r="EZ58" s="3"/>
      <c r="FA58" s="3"/>
      <c r="FB58" s="3"/>
      <c r="FC58" s="3"/>
      <c r="FD58" s="3" t="s">
        <v>288</v>
      </c>
      <c r="FE58" s="3"/>
      <c r="FF58" s="3"/>
      <c r="FG58" s="3"/>
      <c r="FH58" s="3"/>
      <c r="FI58" s="3"/>
      <c r="FJ58" s="3"/>
      <c r="FK58" s="61"/>
      <c r="FM58" s="3" t="s">
        <v>232</v>
      </c>
      <c r="FN58" s="3"/>
      <c r="FO58" s="10" t="s">
        <v>233</v>
      </c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60"/>
      <c r="GB58" s="3"/>
      <c r="GC58" s="3"/>
      <c r="GD58" s="3"/>
      <c r="GE58" s="3"/>
      <c r="GF58" s="3"/>
      <c r="GG58" s="61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61"/>
      <c r="IM58" s="3"/>
      <c r="IN58" s="3"/>
      <c r="IO58" s="3"/>
      <c r="IP58" s="3"/>
      <c r="IQ58" s="3"/>
      <c r="IR58" s="3"/>
      <c r="IS58" s="3"/>
    </row>
    <row r="59" spans="2:253" ht="12.75" customHeight="1" thickBot="1">
      <c r="B59"/>
      <c r="C59"/>
      <c r="D59"/>
      <c r="E59"/>
      <c r="F59" s="304"/>
      <c r="G59" s="280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280"/>
      <c r="T59" s="280"/>
      <c r="U59" s="280"/>
      <c r="V59" s="280"/>
      <c r="X59" s="254"/>
      <c r="Y59" s="220" t="s">
        <v>235</v>
      </c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52"/>
      <c r="AW59" s="3"/>
      <c r="AX59" s="184"/>
      <c r="AY59" s="3"/>
      <c r="AZ59" s="132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60"/>
      <c r="DQ59" s="129" t="s">
        <v>87</v>
      </c>
      <c r="DR59" s="182">
        <f t="shared" si="122"/>
        <v>-1E-05</v>
      </c>
      <c r="DS59" s="178">
        <f t="shared" si="123"/>
        <v>1.5</v>
      </c>
      <c r="DT59" s="29"/>
      <c r="DU59" s="29"/>
      <c r="DV59" s="129" t="s">
        <v>87</v>
      </c>
      <c r="DW59" s="182">
        <f t="shared" si="124"/>
        <v>-1E-05</v>
      </c>
      <c r="DX59" s="178">
        <f t="shared" si="125"/>
        <v>1.5</v>
      </c>
      <c r="DY59" s="29"/>
      <c r="DZ59" s="29"/>
      <c r="EA59" s="129" t="s">
        <v>87</v>
      </c>
      <c r="EB59" s="182">
        <f t="shared" si="126"/>
        <v>-1E-05</v>
      </c>
      <c r="EC59" s="178">
        <f t="shared" si="127"/>
        <v>1.5</v>
      </c>
      <c r="ED59" s="29"/>
      <c r="EE59" s="29"/>
      <c r="EF59" s="129" t="s">
        <v>87</v>
      </c>
      <c r="EG59" s="182">
        <f t="shared" si="128"/>
        <v>-1E-05</v>
      </c>
      <c r="EH59" s="178">
        <f t="shared" si="129"/>
        <v>1.5</v>
      </c>
      <c r="EI59" s="29"/>
      <c r="EJ59" s="29"/>
      <c r="EK59" s="129" t="s">
        <v>87</v>
      </c>
      <c r="EL59" s="182">
        <f t="shared" si="130"/>
        <v>-1E-05</v>
      </c>
      <c r="EM59" s="178">
        <f t="shared" si="131"/>
        <v>1.5</v>
      </c>
      <c r="EN59" s="29"/>
      <c r="EO59" s="29"/>
      <c r="EP59" s="129" t="s">
        <v>87</v>
      </c>
      <c r="EQ59" s="182">
        <f t="shared" si="132"/>
        <v>-1E-05</v>
      </c>
      <c r="ER59" s="178">
        <f t="shared" si="133"/>
        <v>1.5</v>
      </c>
      <c r="ES59" s="29"/>
      <c r="ET59" s="29"/>
      <c r="EU59" s="29"/>
      <c r="EV59" s="61"/>
      <c r="EW59" s="60"/>
      <c r="EX59" s="3"/>
      <c r="EY59" s="3"/>
      <c r="EZ59" s="3"/>
      <c r="FA59" s="3"/>
      <c r="FB59" s="3"/>
      <c r="FC59" s="3"/>
      <c r="FD59" s="11"/>
      <c r="FE59" s="270"/>
      <c r="FF59" s="2">
        <f>IF($Q$35="a",IF(N47="x (T&gt;20)",1,IF(N47="x",1,0)),IF(N47="x",1,0))</f>
        <v>0</v>
      </c>
      <c r="FG59" s="2">
        <f>IF($Q$35="a",IF(R47="x (T&gt;20)",1,IF(R47="x",1,0)),IF(R47="x",1,0))</f>
        <v>1</v>
      </c>
      <c r="FH59" s="2">
        <f>IF($Q$35="a",IF(V47="x (T&gt;20)",1,IF(V47="x",1,0)),IF(V47="x",1,0))</f>
        <v>0</v>
      </c>
      <c r="FI59" s="48"/>
      <c r="FJ59" s="3"/>
      <c r="FK59" s="61"/>
      <c r="FM59" s="3" t="s">
        <v>238</v>
      </c>
      <c r="FN59" s="3"/>
      <c r="FO59" s="10" t="s">
        <v>239</v>
      </c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60"/>
      <c r="GB59" s="3"/>
      <c r="GC59" s="3"/>
      <c r="GD59" s="3"/>
      <c r="GE59" s="3"/>
      <c r="GF59" s="3"/>
      <c r="GG59" s="61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61"/>
      <c r="IM59" s="3"/>
      <c r="IN59" s="3"/>
      <c r="IO59" s="3"/>
      <c r="IP59" s="3"/>
      <c r="IQ59" s="3"/>
      <c r="IR59" s="3"/>
      <c r="IS59" s="3"/>
    </row>
    <row r="60" spans="2:253" ht="12.75" customHeight="1" thickBot="1">
      <c r="B60"/>
      <c r="C60"/>
      <c r="D60"/>
      <c r="E60"/>
      <c r="F60"/>
      <c r="H60"/>
      <c r="I60"/>
      <c r="J60"/>
      <c r="K60"/>
      <c r="L60"/>
      <c r="M60"/>
      <c r="N60"/>
      <c r="O60"/>
      <c r="P60"/>
      <c r="Q60"/>
      <c r="R60"/>
      <c r="X60" s="254"/>
      <c r="Y60" s="220" t="s">
        <v>243</v>
      </c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52"/>
      <c r="AW60" s="3"/>
      <c r="AX60" s="184"/>
      <c r="AY60" s="3"/>
      <c r="AZ60" s="132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 s="29"/>
      <c r="EU60" s="29"/>
      <c r="EV60" s="61"/>
      <c r="EW60" s="60"/>
      <c r="EX60" s="3"/>
      <c r="EY60" s="3"/>
      <c r="EZ60" s="3"/>
      <c r="FA60" s="3"/>
      <c r="FB60" s="3"/>
      <c r="FC60" s="3"/>
      <c r="FD60" s="60"/>
      <c r="FE60" s="235"/>
      <c r="FF60" s="3">
        <f>IF($Q$35="a",IF(N48="x (T&gt;20)",1,IF(N48="x",1,0)),IF(N48="x",1,0))</f>
        <v>0</v>
      </c>
      <c r="FG60" s="3">
        <f>IF($Q$35="a",IF(R48="x (T&gt;20)",1,IF(R48="x",1,0)),IF(R48="x",1,0))</f>
        <v>0</v>
      </c>
      <c r="FH60" s="3">
        <f>IF($Q$35="a",IF(V48="x (T&gt;20)",1,IF(V48="x",1,0)),IF(V48="x",1,0))</f>
        <v>0</v>
      </c>
      <c r="FI60" s="61"/>
      <c r="FJ60" s="3"/>
      <c r="FK60" s="61"/>
      <c r="FM60" s="3" t="s">
        <v>244</v>
      </c>
      <c r="FN60" s="3"/>
      <c r="FO60" s="10" t="s">
        <v>245</v>
      </c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60"/>
      <c r="GB60" s="3"/>
      <c r="GC60" s="3"/>
      <c r="GD60" s="3"/>
      <c r="GE60" s="3"/>
      <c r="GF60" s="3"/>
      <c r="GG60" s="61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49"/>
      <c r="IM60" s="3"/>
      <c r="IN60" s="3"/>
      <c r="IO60" s="3"/>
      <c r="IP60" s="3"/>
      <c r="IQ60" s="3"/>
      <c r="IR60" s="3"/>
      <c r="IS60" s="3"/>
    </row>
    <row r="61" spans="2:189" ht="12.75">
      <c r="B61"/>
      <c r="C61"/>
      <c r="D61"/>
      <c r="E61"/>
      <c r="F61"/>
      <c r="H61"/>
      <c r="I61"/>
      <c r="J61"/>
      <c r="K61"/>
      <c r="L61"/>
      <c r="M61"/>
      <c r="N61"/>
      <c r="O61"/>
      <c r="P61"/>
      <c r="Q61"/>
      <c r="R61"/>
      <c r="X61" s="254"/>
      <c r="Y61" s="220" t="s">
        <v>289</v>
      </c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52"/>
      <c r="AW61" s="3"/>
      <c r="AX61" s="184"/>
      <c r="AY61" s="3"/>
      <c r="AZ61" s="132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60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 s="29"/>
      <c r="EU61" s="29"/>
      <c r="EV61" s="61"/>
      <c r="EW61" s="60"/>
      <c r="EX61" s="3"/>
      <c r="EY61" s="3"/>
      <c r="EZ61" s="3"/>
      <c r="FA61" s="3"/>
      <c r="FB61" s="3"/>
      <c r="FC61" s="3"/>
      <c r="FD61" s="11"/>
      <c r="FE61" s="2"/>
      <c r="FF61" s="2"/>
      <c r="FG61" s="2"/>
      <c r="FH61" s="2"/>
      <c r="FI61" s="48"/>
      <c r="FJ61" s="3"/>
      <c r="FK61" s="61"/>
      <c r="FM61" s="3" t="s">
        <v>247</v>
      </c>
      <c r="FN61" s="3"/>
      <c r="FO61" s="10" t="s">
        <v>248</v>
      </c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60"/>
      <c r="GB61" s="3"/>
      <c r="GC61" s="3"/>
      <c r="GD61" s="3"/>
      <c r="GE61" s="3"/>
      <c r="GF61" s="3"/>
      <c r="GG61" s="61"/>
    </row>
    <row r="62" spans="2:189" ht="13.5" thickBot="1">
      <c r="B62"/>
      <c r="C62"/>
      <c r="D62"/>
      <c r="E62"/>
      <c r="F62"/>
      <c r="H62"/>
      <c r="I62"/>
      <c r="J62"/>
      <c r="K62"/>
      <c r="L62"/>
      <c r="M62"/>
      <c r="N62"/>
      <c r="O62"/>
      <c r="P62"/>
      <c r="Q62"/>
      <c r="R62"/>
      <c r="X62" s="255"/>
      <c r="Y62" s="241" t="s">
        <v>290</v>
      </c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53"/>
      <c r="AW62" s="3"/>
      <c r="AX62" s="184"/>
      <c r="AY62" s="3"/>
      <c r="AZ62" s="132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60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 s="29"/>
      <c r="EU62" s="29"/>
      <c r="EV62" s="61"/>
      <c r="EW62" s="60"/>
      <c r="EX62" s="3"/>
      <c r="EY62" s="3"/>
      <c r="EZ62" s="3"/>
      <c r="FA62" s="3"/>
      <c r="FB62" s="3"/>
      <c r="FC62" s="3"/>
      <c r="FD62" s="113"/>
      <c r="FE62" s="114"/>
      <c r="FF62" s="114"/>
      <c r="FG62" s="3"/>
      <c r="FH62" s="3"/>
      <c r="FI62" s="61"/>
      <c r="FJ62" s="3"/>
      <c r="FK62" s="61"/>
      <c r="FM62" s="3" t="s">
        <v>252</v>
      </c>
      <c r="FN62" s="3"/>
      <c r="FO62" s="10" t="s">
        <v>253</v>
      </c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60"/>
      <c r="GB62" s="3"/>
      <c r="GC62" s="3"/>
      <c r="GD62" s="3"/>
      <c r="GE62" s="3"/>
      <c r="GF62" s="3"/>
      <c r="GG62" s="61"/>
    </row>
    <row r="63" spans="2:189" ht="13.5" thickBot="1">
      <c r="B63"/>
      <c r="C63"/>
      <c r="D63"/>
      <c r="E63"/>
      <c r="F63"/>
      <c r="I63"/>
      <c r="J63"/>
      <c r="K63"/>
      <c r="L63"/>
      <c r="M63"/>
      <c r="N63"/>
      <c r="O63"/>
      <c r="P63"/>
      <c r="Q63"/>
      <c r="R63"/>
      <c r="X63" s="243"/>
      <c r="Y63" s="244" t="s">
        <v>291</v>
      </c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6"/>
      <c r="AW63" s="3"/>
      <c r="AX63" s="184"/>
      <c r="AY63" s="3"/>
      <c r="AZ63" s="132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60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 s="29"/>
      <c r="EU63" s="29"/>
      <c r="EV63" s="61"/>
      <c r="EW63" s="60"/>
      <c r="EX63" s="3"/>
      <c r="EY63" s="3"/>
      <c r="EZ63" s="3"/>
      <c r="FA63" s="3"/>
      <c r="FB63" s="3"/>
      <c r="FC63" s="3"/>
      <c r="FD63" s="113" t="s">
        <v>275</v>
      </c>
      <c r="FE63" s="112">
        <f>IF(Q35="a",IF(FI63&lt;99,IF(SUM(FF59:FH60)&gt;0,FI63,FI63+1),99),0)</f>
        <v>0</v>
      </c>
      <c r="FF63" s="114"/>
      <c r="FG63" s="3"/>
      <c r="FH63" s="3"/>
      <c r="FI63" s="111">
        <f>IF(Q35="a",FE63,0)</f>
        <v>0</v>
      </c>
      <c r="FJ63" s="3"/>
      <c r="FK63" s="61"/>
      <c r="FM63" s="3" t="s">
        <v>258</v>
      </c>
      <c r="FN63" s="3"/>
      <c r="FO63" s="10" t="s">
        <v>259</v>
      </c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60"/>
      <c r="GB63" s="3"/>
      <c r="GC63" s="3"/>
      <c r="GD63" s="3"/>
      <c r="GE63" s="3"/>
      <c r="GF63" s="3"/>
      <c r="GG63" s="61"/>
    </row>
    <row r="64" spans="2:253" ht="13.5" thickBot="1">
      <c r="B64"/>
      <c r="C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X64" s="247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48"/>
      <c r="AW64" s="3"/>
      <c r="AX64" s="184"/>
      <c r="AY64" s="3"/>
      <c r="AZ64" s="132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60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 s="29"/>
      <c r="EU64" s="29"/>
      <c r="EV64" s="61"/>
      <c r="EW64" s="60"/>
      <c r="EX64" s="3"/>
      <c r="EY64" s="3"/>
      <c r="EZ64" s="3"/>
      <c r="FA64" s="3"/>
      <c r="FB64" s="3"/>
      <c r="FC64" s="3"/>
      <c r="FD64" s="115"/>
      <c r="FE64" s="116"/>
      <c r="FF64" s="116"/>
      <c r="FG64" s="5"/>
      <c r="FH64" s="5"/>
      <c r="FI64" s="49"/>
      <c r="FJ64" s="3"/>
      <c r="FK64" s="61"/>
      <c r="FM64" s="3" t="s">
        <v>263</v>
      </c>
      <c r="FN64" s="3"/>
      <c r="FO64" s="10" t="s">
        <v>264</v>
      </c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284"/>
      <c r="GB64" s="285"/>
      <c r="GC64" s="285"/>
      <c r="GD64" s="285"/>
      <c r="GE64" s="285"/>
      <c r="GF64" s="285"/>
      <c r="GG64" s="286"/>
      <c r="GH64" s="145"/>
      <c r="GI64" s="145"/>
      <c r="GJ64" s="145"/>
      <c r="GK64" s="145"/>
      <c r="GL64" s="145"/>
      <c r="GM64" s="145"/>
      <c r="GN64" s="145"/>
      <c r="GO64" s="145"/>
      <c r="GP64" s="145"/>
      <c r="GQ64" s="145"/>
      <c r="GR64" s="145"/>
      <c r="GS64" s="145"/>
      <c r="GT64" s="145"/>
      <c r="GU64" s="145"/>
      <c r="GV64" s="145"/>
      <c r="GW64" s="145"/>
      <c r="GX64" s="145"/>
      <c r="GY64" s="145"/>
      <c r="GZ64" s="145"/>
      <c r="HA64" s="145"/>
      <c r="HB64" s="145"/>
      <c r="HC64" s="145"/>
      <c r="HD64" s="145"/>
      <c r="HE64" s="145"/>
      <c r="HF64" s="145"/>
      <c r="HG64" s="145"/>
      <c r="HH64" s="145"/>
      <c r="HI64" s="145"/>
      <c r="HJ64" s="145"/>
      <c r="HK64" s="145"/>
      <c r="HL64" s="145"/>
      <c r="HM64" s="145"/>
      <c r="HN64" s="145"/>
      <c r="HO64" s="145"/>
      <c r="HP64" s="145"/>
      <c r="HQ64" s="145"/>
      <c r="HR64" s="145"/>
      <c r="HS64" s="145"/>
      <c r="HT64" s="145"/>
      <c r="HU64" s="145"/>
      <c r="HV64" s="145"/>
      <c r="HW64" s="145"/>
      <c r="HX64" s="145"/>
      <c r="HY64" s="145"/>
      <c r="HZ64" s="145"/>
      <c r="IA64" s="145"/>
      <c r="IB64" s="145"/>
      <c r="IC64" s="145"/>
      <c r="ID64" s="145"/>
      <c r="IE64" s="145"/>
      <c r="IF64" s="145"/>
      <c r="IG64" s="145"/>
      <c r="IH64" s="145"/>
      <c r="II64" s="145"/>
      <c r="IJ64" s="145"/>
      <c r="IK64" s="145"/>
      <c r="IL64" s="145"/>
      <c r="IM64" s="145"/>
      <c r="IN64" s="145"/>
      <c r="IO64" s="145"/>
      <c r="IP64" s="145"/>
      <c r="IQ64" s="145"/>
      <c r="IR64" s="145"/>
      <c r="IS64" s="145"/>
    </row>
    <row r="65" spans="2:189" ht="18">
      <c r="B65"/>
      <c r="C65"/>
      <c r="D65"/>
      <c r="E65"/>
      <c r="F65"/>
      <c r="H65"/>
      <c r="I65"/>
      <c r="J65"/>
      <c r="K65"/>
      <c r="L65"/>
      <c r="M65"/>
      <c r="N65"/>
      <c r="O65"/>
      <c r="P65"/>
      <c r="Q65"/>
      <c r="R65"/>
      <c r="X65" s="247"/>
      <c r="Y65" s="223"/>
      <c r="Z65" s="224" t="s">
        <v>292</v>
      </c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48"/>
      <c r="AW65" s="3"/>
      <c r="AX65" s="184"/>
      <c r="AY65" s="3"/>
      <c r="AZ65" s="132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60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 s="29"/>
      <c r="EU65" s="29"/>
      <c r="EV65" s="61"/>
      <c r="EW65" s="60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61"/>
      <c r="FM65" s="3" t="s">
        <v>268</v>
      </c>
      <c r="FN65" s="3"/>
      <c r="FO65" s="10" t="s">
        <v>269</v>
      </c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60"/>
      <c r="GB65" s="3"/>
      <c r="GC65" s="3"/>
      <c r="GD65" s="3"/>
      <c r="GE65" s="3"/>
      <c r="GF65" s="3"/>
      <c r="GG65" s="61"/>
    </row>
    <row r="66" spans="2:189" ht="13.5" thickBot="1">
      <c r="B66"/>
      <c r="C66"/>
      <c r="D66"/>
      <c r="E66"/>
      <c r="F66"/>
      <c r="H66"/>
      <c r="I66"/>
      <c r="J66"/>
      <c r="K66"/>
      <c r="L66"/>
      <c r="M66"/>
      <c r="N66"/>
      <c r="O66"/>
      <c r="P66"/>
      <c r="Q66"/>
      <c r="R66"/>
      <c r="X66" s="249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1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4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49"/>
      <c r="EW66" s="60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61"/>
      <c r="FM66" s="3" t="s">
        <v>276</v>
      </c>
      <c r="FN66" s="3"/>
      <c r="FO66" s="10" t="s">
        <v>277</v>
      </c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60"/>
      <c r="GB66" s="3"/>
      <c r="GC66" s="3"/>
      <c r="GD66" s="3"/>
      <c r="GE66" s="3"/>
      <c r="GF66" s="3"/>
      <c r="GG66" s="61"/>
    </row>
    <row r="67" spans="2:189" ht="12.75">
      <c r="B67"/>
      <c r="C67"/>
      <c r="D67"/>
      <c r="E67"/>
      <c r="F67"/>
      <c r="H67"/>
      <c r="I67"/>
      <c r="J67"/>
      <c r="K67"/>
      <c r="L67"/>
      <c r="M67"/>
      <c r="N67"/>
      <c r="O67"/>
      <c r="P67"/>
      <c r="Q67"/>
      <c r="R67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EW67" s="60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61"/>
      <c r="FM67" s="3" t="s">
        <v>280</v>
      </c>
      <c r="FN67" s="3"/>
      <c r="FO67" s="10" t="s">
        <v>281</v>
      </c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60"/>
      <c r="GB67" s="3"/>
      <c r="GC67" s="3"/>
      <c r="GD67" s="3"/>
      <c r="GE67" s="3"/>
      <c r="GF67" s="3"/>
      <c r="GG67" s="61"/>
    </row>
    <row r="68" spans="2:189" ht="12.75">
      <c r="B68"/>
      <c r="C68"/>
      <c r="D68"/>
      <c r="E68"/>
      <c r="F68"/>
      <c r="H68"/>
      <c r="I68"/>
      <c r="J68"/>
      <c r="K68"/>
      <c r="L68"/>
      <c r="M68"/>
      <c r="N68"/>
      <c r="O68"/>
      <c r="P68"/>
      <c r="Q68"/>
      <c r="R68"/>
      <c r="Y68" s="3"/>
      <c r="AH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W68" s="60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61"/>
      <c r="FM68" s="3" t="s">
        <v>284</v>
      </c>
      <c r="FN68" s="3"/>
      <c r="FO68" s="10" t="s">
        <v>285</v>
      </c>
      <c r="FP68" s="3"/>
      <c r="FQ68" s="3"/>
      <c r="FR68" s="3"/>
      <c r="FS68" s="3"/>
      <c r="FT68" s="3"/>
      <c r="FU68" s="3"/>
      <c r="FV68" s="3"/>
      <c r="FW68" s="3"/>
      <c r="FX68" s="3"/>
      <c r="FY68" s="3"/>
      <c r="GA68" s="60"/>
      <c r="GB68" s="3"/>
      <c r="GC68" s="3"/>
      <c r="GD68" s="3"/>
      <c r="GE68" s="3"/>
      <c r="GF68" s="3"/>
      <c r="GG68" s="61"/>
    </row>
    <row r="69" spans="2:189" ht="12.75">
      <c r="B69"/>
      <c r="C69"/>
      <c r="D69"/>
      <c r="E69"/>
      <c r="F69"/>
      <c r="H69"/>
      <c r="I69"/>
      <c r="J69"/>
      <c r="K69"/>
      <c r="L69"/>
      <c r="M69"/>
      <c r="N69"/>
      <c r="O69"/>
      <c r="P69"/>
      <c r="Q69"/>
      <c r="R69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W69" s="60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61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GA69" s="60"/>
      <c r="GB69" s="3"/>
      <c r="GC69" s="3"/>
      <c r="GD69" s="3"/>
      <c r="GE69" s="3"/>
      <c r="GF69" s="3"/>
      <c r="GG69" s="61"/>
    </row>
    <row r="70" spans="2:189" ht="12.75">
      <c r="B70"/>
      <c r="C70"/>
      <c r="D70"/>
      <c r="E70"/>
      <c r="F70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 s="145"/>
      <c r="EF70" s="145"/>
      <c r="EG70" s="145"/>
      <c r="EH70" s="145"/>
      <c r="EI70" s="145"/>
      <c r="EJ70" s="145"/>
      <c r="EK70" s="145"/>
      <c r="EL70" s="145"/>
      <c r="EM70" s="145"/>
      <c r="EN70" s="145"/>
      <c r="EO70" s="145"/>
      <c r="EP70" s="145"/>
      <c r="EQ70" s="145"/>
      <c r="ER70" s="145"/>
      <c r="ES70" s="145"/>
      <c r="ET70" s="145"/>
      <c r="EU70" s="145"/>
      <c r="EV70" s="145"/>
      <c r="EW70" s="60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61"/>
      <c r="FM70" s="190" t="s">
        <v>289</v>
      </c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GA70" s="60"/>
      <c r="GB70" s="3"/>
      <c r="GC70" s="3"/>
      <c r="GD70" s="3"/>
      <c r="GE70" s="3"/>
      <c r="GF70" s="3"/>
      <c r="GG70" s="61"/>
    </row>
    <row r="71" spans="2:189" ht="12.75">
      <c r="B71"/>
      <c r="X71" s="145"/>
      <c r="Z71" s="145"/>
      <c r="AA71" s="145"/>
      <c r="AB71" s="145"/>
      <c r="AC71" s="145"/>
      <c r="AD71" s="145"/>
      <c r="AE71" s="145"/>
      <c r="AF71" s="145"/>
      <c r="AG71" s="145"/>
      <c r="AI71" s="145"/>
      <c r="AJ71" s="145"/>
      <c r="AK71" s="145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W71" s="60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61"/>
      <c r="FM71" s="190" t="s">
        <v>290</v>
      </c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Z71" s="145"/>
      <c r="GA71" s="60"/>
      <c r="GB71" s="3"/>
      <c r="GC71" s="3"/>
      <c r="GD71" s="3"/>
      <c r="GE71" s="3"/>
      <c r="GF71" s="3"/>
      <c r="GG71" s="61"/>
    </row>
    <row r="72" spans="25:189" ht="13.5" thickBot="1">
      <c r="Y72" s="145"/>
      <c r="AH72" s="145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W72" s="4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49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GA72" s="4"/>
      <c r="GB72" s="5"/>
      <c r="GC72" s="5"/>
      <c r="GD72" s="5"/>
      <c r="GE72" s="5"/>
      <c r="GF72" s="5"/>
      <c r="GG72" s="49"/>
    </row>
    <row r="73" spans="97:183" ht="12.75"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FK73" s="61"/>
      <c r="FL73" s="3"/>
      <c r="FM73" s="227" t="s">
        <v>293</v>
      </c>
      <c r="GA73" s="60"/>
    </row>
    <row r="74" spans="97:183" ht="12.75"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FK74" s="61"/>
      <c r="FL74" s="3"/>
      <c r="FM74" s="1" t="s">
        <v>294</v>
      </c>
      <c r="FY74" s="145"/>
      <c r="GA74" s="60"/>
    </row>
    <row r="75" spans="167:183" ht="11.25">
      <c r="FK75" s="61"/>
      <c r="FL75" s="3"/>
      <c r="FM75" s="1" t="s">
        <v>295</v>
      </c>
      <c r="GA75" s="60"/>
    </row>
    <row r="76" spans="38:183" ht="11.25"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5"/>
      <c r="DT76" s="145"/>
      <c r="DU76" s="145"/>
      <c r="DV76" s="145"/>
      <c r="DW76" s="145"/>
      <c r="EW76" s="145"/>
      <c r="EX76" s="145"/>
      <c r="EY76" s="145"/>
      <c r="EZ76" s="145"/>
      <c r="FA76" s="145"/>
      <c r="FB76" s="145"/>
      <c r="FC76" s="145"/>
      <c r="FD76" s="145"/>
      <c r="FE76" s="145"/>
      <c r="FF76" s="145"/>
      <c r="FG76" s="145"/>
      <c r="FH76" s="145"/>
      <c r="FI76" s="145"/>
      <c r="FJ76" s="145"/>
      <c r="FK76" s="286"/>
      <c r="FL76" s="3"/>
      <c r="FM76" s="145" t="s">
        <v>296</v>
      </c>
      <c r="FN76" s="145"/>
      <c r="FO76" s="145"/>
      <c r="FP76" s="145"/>
      <c r="FQ76" s="145"/>
      <c r="FR76" s="145"/>
      <c r="FS76" s="145"/>
      <c r="FT76" s="145"/>
      <c r="FU76" s="145"/>
      <c r="FV76" s="145"/>
      <c r="FW76" s="145"/>
      <c r="FX76" s="145"/>
      <c r="GA76" s="60"/>
    </row>
    <row r="77" spans="97:183" ht="11.25">
      <c r="CS77" s="145"/>
      <c r="DX77" s="145"/>
      <c r="DY77" s="145"/>
      <c r="FK77" s="61"/>
      <c r="FL77" s="3"/>
      <c r="FM77" s="1" t="s">
        <v>297</v>
      </c>
      <c r="GA77" s="60"/>
    </row>
    <row r="78" spans="167:183" ht="11.25">
      <c r="FK78" s="61"/>
      <c r="FL78" s="3"/>
      <c r="FM78" s="1" t="s">
        <v>298</v>
      </c>
      <c r="GA78" s="60"/>
    </row>
    <row r="79" spans="167:183" ht="11.25">
      <c r="FK79" s="61"/>
      <c r="FL79" s="3"/>
      <c r="FM79" s="1" t="s">
        <v>299</v>
      </c>
      <c r="GA79" s="60"/>
    </row>
    <row r="80" spans="167:183" ht="11.25">
      <c r="FK80" s="61"/>
      <c r="FL80" s="3"/>
      <c r="FM80" s="1" t="s">
        <v>300</v>
      </c>
      <c r="GA80" s="60"/>
    </row>
    <row r="81" spans="167:183" ht="11.25">
      <c r="FK81" s="61"/>
      <c r="FL81" s="3"/>
      <c r="GA81" s="60"/>
    </row>
    <row r="82" spans="167:183" ht="11.25">
      <c r="FK82" s="61"/>
      <c r="FL82" s="3"/>
      <c r="FM82" s="1" t="s">
        <v>301</v>
      </c>
      <c r="GA82" s="60"/>
    </row>
    <row r="83" spans="167:183" ht="11.25">
      <c r="FK83" s="61"/>
      <c r="FL83" s="3"/>
      <c r="GA83" s="60"/>
    </row>
    <row r="84" spans="167:183" ht="11.25">
      <c r="FK84" s="61"/>
      <c r="FL84" s="3"/>
      <c r="FM84" s="12" t="s">
        <v>302</v>
      </c>
      <c r="FN84" s="14"/>
      <c r="FO84" s="13"/>
      <c r="FP84" s="13"/>
      <c r="FQ84" s="13"/>
      <c r="FR84" s="13"/>
      <c r="FS84" s="13"/>
      <c r="FT84" s="13"/>
      <c r="FU84" s="13"/>
      <c r="FV84" s="13"/>
      <c r="FW84" s="13"/>
      <c r="FX84" s="14"/>
      <c r="GA84" s="60"/>
    </row>
    <row r="85" spans="167:183" ht="11.25">
      <c r="FK85" s="61"/>
      <c r="FL85" s="3"/>
      <c r="FM85" s="10" t="s">
        <v>303</v>
      </c>
      <c r="FN85" s="6"/>
      <c r="FO85" s="3"/>
      <c r="FP85" s="3"/>
      <c r="FQ85" s="3" t="s">
        <v>304</v>
      </c>
      <c r="FR85" s="3"/>
      <c r="FS85" s="3"/>
      <c r="FT85" s="3"/>
      <c r="FU85" s="3"/>
      <c r="FV85" s="3"/>
      <c r="FW85" s="3"/>
      <c r="FX85" s="6"/>
      <c r="GA85" s="60"/>
    </row>
    <row r="86" spans="166:183" ht="11.25">
      <c r="FJ86" s="3"/>
      <c r="FK86" s="61"/>
      <c r="FL86" s="3"/>
      <c r="FM86" s="9" t="s">
        <v>305</v>
      </c>
      <c r="FN86" s="7"/>
      <c r="FO86" s="24" t="s">
        <v>306</v>
      </c>
      <c r="FP86" s="3"/>
      <c r="FQ86" s="3"/>
      <c r="FR86" s="3"/>
      <c r="FS86" s="3"/>
      <c r="FT86" s="3"/>
      <c r="FU86" s="3"/>
      <c r="FV86" s="3"/>
      <c r="FW86" s="3"/>
      <c r="FX86" s="6"/>
      <c r="GA86" s="60"/>
    </row>
    <row r="87" spans="167:183" ht="11.25">
      <c r="FK87" s="61"/>
      <c r="FL87" s="3"/>
      <c r="FM87" s="10"/>
      <c r="FN87" s="3"/>
      <c r="FO87" s="16" t="s">
        <v>307</v>
      </c>
      <c r="FP87" s="3"/>
      <c r="FQ87" s="3" t="s">
        <v>308</v>
      </c>
      <c r="FR87" s="3"/>
      <c r="FS87" s="3"/>
      <c r="FT87" s="3"/>
      <c r="FU87" s="3"/>
      <c r="FV87" s="24" t="s">
        <v>309</v>
      </c>
      <c r="FW87" s="3"/>
      <c r="FX87" s="6"/>
      <c r="GA87" s="60"/>
    </row>
    <row r="88" spans="167:183" ht="11.25">
      <c r="FK88" s="61"/>
      <c r="FL88" s="3"/>
      <c r="FM88" s="9"/>
      <c r="FN88" s="8"/>
      <c r="FO88" s="15" t="s">
        <v>310</v>
      </c>
      <c r="FP88" s="8"/>
      <c r="FQ88" s="8"/>
      <c r="FR88" s="8"/>
      <c r="FS88" s="8"/>
      <c r="FT88" s="8"/>
      <c r="FU88" s="8"/>
      <c r="FV88" s="16" t="s">
        <v>311</v>
      </c>
      <c r="FW88" s="8"/>
      <c r="FX88" s="7"/>
      <c r="GA88" s="60"/>
    </row>
    <row r="89" spans="167:183" ht="11.25">
      <c r="FK89" s="61"/>
      <c r="FL89" s="3"/>
      <c r="FV89" s="15" t="s">
        <v>312</v>
      </c>
      <c r="GA89" s="60"/>
    </row>
    <row r="90" spans="167:183" ht="11.25">
      <c r="FK90" s="61"/>
      <c r="FL90" s="3"/>
      <c r="GA90" s="60"/>
    </row>
    <row r="91" spans="167:183" ht="11.25">
      <c r="FK91" s="61"/>
      <c r="FL91" s="3"/>
      <c r="GA91" s="60"/>
    </row>
    <row r="92" spans="167:183" ht="12.75">
      <c r="FK92" s="61"/>
      <c r="FL92" s="3"/>
      <c r="FM92" s="195" t="s">
        <v>313</v>
      </c>
      <c r="GA92" s="60"/>
    </row>
    <row r="93" spans="167:183" ht="12.75">
      <c r="FK93" s="61"/>
      <c r="FL93" s="3"/>
      <c r="FM93" s="195" t="s">
        <v>314</v>
      </c>
      <c r="GA93" s="60"/>
    </row>
    <row r="94" spans="167:183" ht="12.75">
      <c r="FK94" s="61"/>
      <c r="FL94" s="3"/>
      <c r="FM94" s="195" t="s">
        <v>315</v>
      </c>
      <c r="GA94" s="60"/>
    </row>
    <row r="95" spans="167:183" ht="11.25">
      <c r="FK95" s="61"/>
      <c r="FL95" s="3"/>
      <c r="GA95" s="60"/>
    </row>
    <row r="96" spans="167:183" ht="12" thickBot="1">
      <c r="FK96" s="61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60"/>
    </row>
  </sheetData>
  <printOptions/>
  <pageMargins left="0.62" right="0.45" top="0.78" bottom="0.29" header="0.63" footer="0.25"/>
  <pageSetup fitToWidth="10" horizontalDpi="300" verticalDpi="3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37"/>
  <sheetViews>
    <sheetView zoomScale="75" zoomScaleNormal="75" workbookViewId="0" topLeftCell="A1">
      <selection activeCell="B6" sqref="B6:B16"/>
    </sheetView>
  </sheetViews>
  <sheetFormatPr defaultColWidth="11.421875" defaultRowHeight="12.75"/>
  <cols>
    <col min="1" max="1" width="6.8515625" style="1" customWidth="1"/>
    <col min="2" max="59" width="6.421875" style="1" customWidth="1"/>
    <col min="60" max="82" width="6.57421875" style="1" customWidth="1"/>
    <col min="83" max="16384" width="11.421875" style="1" customWidth="1"/>
  </cols>
  <sheetData>
    <row r="1" spans="1:59" ht="18">
      <c r="A1" s="197" t="s">
        <v>316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ht="12.75">
      <c r="A4"/>
      <c r="B4" t="s">
        <v>317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t="s">
        <v>139</v>
      </c>
      <c r="S4"/>
      <c r="T4"/>
      <c r="U4"/>
      <c r="V4"/>
      <c r="W4"/>
      <c r="X4"/>
      <c r="Y4"/>
      <c r="Z4"/>
      <c r="AA4"/>
      <c r="AB4"/>
      <c r="AC4"/>
      <c r="AD4" t="s">
        <v>318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13.5" thickBot="1">
      <c r="A5" s="196" t="s">
        <v>92</v>
      </c>
      <c r="B5" s="196" t="s">
        <v>60</v>
      </c>
      <c r="C5" s="196" t="s">
        <v>60</v>
      </c>
      <c r="D5" s="196" t="s">
        <v>60</v>
      </c>
      <c r="E5" s="196" t="s">
        <v>60</v>
      </c>
      <c r="F5" s="196" t="s">
        <v>60</v>
      </c>
      <c r="G5" s="196" t="s">
        <v>60</v>
      </c>
      <c r="H5" s="196" t="s">
        <v>60</v>
      </c>
      <c r="I5" s="196" t="s">
        <v>60</v>
      </c>
      <c r="J5" s="196" t="s">
        <v>60</v>
      </c>
      <c r="K5" s="196" t="s">
        <v>60</v>
      </c>
      <c r="L5" s="196" t="s">
        <v>60</v>
      </c>
      <c r="M5" s="196" t="s">
        <v>60</v>
      </c>
      <c r="N5" s="196" t="s">
        <v>60</v>
      </c>
      <c r="O5" s="196" t="s">
        <v>60</v>
      </c>
      <c r="P5" s="196" t="s">
        <v>60</v>
      </c>
      <c r="Q5"/>
      <c r="R5" s="196" t="s">
        <v>60</v>
      </c>
      <c r="S5" s="196" t="s">
        <v>60</v>
      </c>
      <c r="T5" s="196" t="s">
        <v>60</v>
      </c>
      <c r="U5" s="196" t="s">
        <v>60</v>
      </c>
      <c r="V5" s="196" t="s">
        <v>60</v>
      </c>
      <c r="W5" s="196" t="s">
        <v>60</v>
      </c>
      <c r="X5" s="196" t="s">
        <v>60</v>
      </c>
      <c r="Y5" s="196" t="s">
        <v>60</v>
      </c>
      <c r="Z5" s="196" t="s">
        <v>60</v>
      </c>
      <c r="AA5" s="196" t="s">
        <v>60</v>
      </c>
      <c r="AB5" s="196" t="s">
        <v>60</v>
      </c>
      <c r="AC5"/>
      <c r="AD5" s="196" t="s">
        <v>60</v>
      </c>
      <c r="AE5" s="196" t="s">
        <v>60</v>
      </c>
      <c r="AF5" s="196" t="s">
        <v>60</v>
      </c>
      <c r="AG5"/>
      <c r="AH5" s="196" t="s">
        <v>60</v>
      </c>
      <c r="AI5" s="196" t="s">
        <v>60</v>
      </c>
      <c r="AJ5" s="196" t="s">
        <v>60</v>
      </c>
      <c r="AK5" s="196" t="s">
        <v>60</v>
      </c>
      <c r="AL5" s="196" t="s">
        <v>60</v>
      </c>
      <c r="AM5" s="196" t="s">
        <v>60</v>
      </c>
      <c r="AN5" s="196" t="s">
        <v>60</v>
      </c>
      <c r="AO5" s="196" t="s">
        <v>60</v>
      </c>
      <c r="AP5" s="196" t="s">
        <v>60</v>
      </c>
      <c r="AQ5" s="196" t="s">
        <v>60</v>
      </c>
      <c r="AR5" s="196" t="s">
        <v>60</v>
      </c>
      <c r="AS5" s="196" t="s">
        <v>60</v>
      </c>
      <c r="AT5" s="196" t="s">
        <v>60</v>
      </c>
      <c r="AU5" s="196" t="s">
        <v>60</v>
      </c>
      <c r="AV5" s="196" t="s">
        <v>60</v>
      </c>
      <c r="AW5" s="196" t="s">
        <v>60</v>
      </c>
      <c r="AX5" s="196" t="s">
        <v>60</v>
      </c>
      <c r="AY5" s="196" t="s">
        <v>60</v>
      </c>
      <c r="AZ5" s="196" t="s">
        <v>60</v>
      </c>
      <c r="BA5"/>
      <c r="BB5"/>
      <c r="BC5"/>
      <c r="BD5"/>
      <c r="BE5"/>
      <c r="BF5"/>
      <c r="BG5"/>
    </row>
    <row r="6" spans="1:59" ht="13.5" thickTop="1">
      <c r="A6" s="7" t="s">
        <v>97</v>
      </c>
      <c r="B6" s="194">
        <v>0.1</v>
      </c>
      <c r="C6" s="194"/>
      <c r="D6" s="194">
        <v>1.29</v>
      </c>
      <c r="E6" s="194">
        <v>0.6</v>
      </c>
      <c r="F6" s="194">
        <v>0.86</v>
      </c>
      <c r="G6" s="194">
        <v>0.59</v>
      </c>
      <c r="H6" s="194">
        <v>1.44</v>
      </c>
      <c r="I6" s="194">
        <v>1.36</v>
      </c>
      <c r="J6" s="194">
        <v>0.54</v>
      </c>
      <c r="K6" s="194">
        <v>0.91</v>
      </c>
      <c r="L6" s="194"/>
      <c r="M6" s="194">
        <v>1.67</v>
      </c>
      <c r="N6" s="194">
        <v>0.96</v>
      </c>
      <c r="O6" s="194"/>
      <c r="P6" s="194"/>
      <c r="Q6"/>
      <c r="R6" s="194">
        <v>0.22</v>
      </c>
      <c r="S6" s="194">
        <v>0.11</v>
      </c>
      <c r="T6" s="194">
        <v>0.1</v>
      </c>
      <c r="U6" s="194"/>
      <c r="V6" s="194">
        <v>0.56</v>
      </c>
      <c r="W6" s="194">
        <v>0.08</v>
      </c>
      <c r="X6" s="194">
        <v>0.66</v>
      </c>
      <c r="Y6" s="194">
        <v>0.19</v>
      </c>
      <c r="Z6" s="194">
        <v>0.76</v>
      </c>
      <c r="AA6" s="194">
        <v>0.7</v>
      </c>
      <c r="AB6" s="194">
        <v>0.15</v>
      </c>
      <c r="AC6"/>
      <c r="AD6" s="194">
        <v>3.48</v>
      </c>
      <c r="AE6" s="194">
        <v>1.35</v>
      </c>
      <c r="AF6" s="194">
        <v>2.27</v>
      </c>
      <c r="AG6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/>
      <c r="BB6"/>
      <c r="BC6"/>
      <c r="BD6"/>
      <c r="BE6"/>
      <c r="BF6"/>
      <c r="BG6"/>
    </row>
    <row r="7" spans="1:59" ht="12.75">
      <c r="A7" s="7" t="s">
        <v>101</v>
      </c>
      <c r="B7" s="194">
        <v>25.45</v>
      </c>
      <c r="C7" s="194">
        <v>25.19</v>
      </c>
      <c r="D7" s="194">
        <v>21.65</v>
      </c>
      <c r="E7" s="194">
        <v>25.3</v>
      </c>
      <c r="F7" s="194">
        <v>22.89</v>
      </c>
      <c r="G7" s="194">
        <v>20.41</v>
      </c>
      <c r="H7" s="194">
        <v>17.94</v>
      </c>
      <c r="I7" s="194">
        <v>16.11</v>
      </c>
      <c r="J7" s="194">
        <v>15.31</v>
      </c>
      <c r="K7" s="194">
        <v>12.91</v>
      </c>
      <c r="L7" s="194">
        <v>13.23</v>
      </c>
      <c r="M7" s="194">
        <v>11.22</v>
      </c>
      <c r="N7" s="194">
        <v>10.62</v>
      </c>
      <c r="O7" s="194">
        <v>6.15</v>
      </c>
      <c r="P7" s="194">
        <v>0.66</v>
      </c>
      <c r="Q7"/>
      <c r="R7" s="194">
        <v>30.81</v>
      </c>
      <c r="S7" s="194">
        <v>26.68</v>
      </c>
      <c r="T7" s="194">
        <v>30.03</v>
      </c>
      <c r="U7" s="194">
        <v>30.14</v>
      </c>
      <c r="V7" s="194">
        <v>27.94</v>
      </c>
      <c r="W7" s="194">
        <v>29.25</v>
      </c>
      <c r="X7" s="194">
        <v>28.81</v>
      </c>
      <c r="Y7" s="194">
        <v>22.8</v>
      </c>
      <c r="Z7" s="194">
        <v>18.4</v>
      </c>
      <c r="AA7" s="194">
        <v>17.57</v>
      </c>
      <c r="AB7" s="194">
        <v>18.92</v>
      </c>
      <c r="AC7"/>
      <c r="AD7" s="194">
        <v>14.92</v>
      </c>
      <c r="AE7" s="194">
        <v>13.44</v>
      </c>
      <c r="AF7" s="194">
        <v>14.44</v>
      </c>
      <c r="AG7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/>
      <c r="BB7"/>
      <c r="BC7"/>
      <c r="BD7"/>
      <c r="BE7"/>
      <c r="BF7"/>
      <c r="BG7"/>
    </row>
    <row r="8" spans="1:59" ht="12.75">
      <c r="A8" s="7" t="s">
        <v>104</v>
      </c>
      <c r="B8" s="194"/>
      <c r="C8" s="194">
        <v>0.49</v>
      </c>
      <c r="D8" s="194">
        <v>4.6</v>
      </c>
      <c r="E8" s="194">
        <v>1.2</v>
      </c>
      <c r="F8" s="194">
        <v>2.28</v>
      </c>
      <c r="G8" s="194">
        <v>2.23</v>
      </c>
      <c r="H8" s="194">
        <v>1.46</v>
      </c>
      <c r="I8" s="194">
        <v>2.14</v>
      </c>
      <c r="J8" s="194">
        <v>2.68</v>
      </c>
      <c r="K8" s="194">
        <v>2.35</v>
      </c>
      <c r="L8" s="194">
        <v>0</v>
      </c>
      <c r="M8" s="194">
        <v>3.88</v>
      </c>
      <c r="N8" s="194">
        <v>2.42</v>
      </c>
      <c r="O8" s="194">
        <v>1.98</v>
      </c>
      <c r="P8" s="194">
        <v>1.3</v>
      </c>
      <c r="Q8"/>
      <c r="R8" s="194">
        <v>0.66</v>
      </c>
      <c r="S8" s="194">
        <v>5.46</v>
      </c>
      <c r="T8" s="194">
        <v>2.95</v>
      </c>
      <c r="U8" s="194">
        <v>1.26</v>
      </c>
      <c r="V8" s="194">
        <v>2.96</v>
      </c>
      <c r="W8" s="194">
        <v>0.57</v>
      </c>
      <c r="X8" s="194">
        <v>1.4</v>
      </c>
      <c r="Y8" s="194">
        <v>2.56</v>
      </c>
      <c r="Z8" s="194">
        <v>7.28</v>
      </c>
      <c r="AA8" s="194">
        <v>8.06</v>
      </c>
      <c r="AB8" s="194">
        <v>1.79</v>
      </c>
      <c r="AC8"/>
      <c r="AD8" s="194">
        <v>16.29</v>
      </c>
      <c r="AE8" s="194">
        <v>7.68</v>
      </c>
      <c r="AF8" s="194">
        <v>14.98</v>
      </c>
      <c r="AG8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/>
      <c r="BB8"/>
      <c r="BC8"/>
      <c r="BD8"/>
      <c r="BE8"/>
      <c r="BF8"/>
      <c r="BG8"/>
    </row>
    <row r="9" spans="1:59" ht="12.75">
      <c r="A9" s="7" t="s">
        <v>107</v>
      </c>
      <c r="B9" s="194">
        <v>58.56</v>
      </c>
      <c r="C9" s="194">
        <v>59.45</v>
      </c>
      <c r="D9" s="194">
        <v>55.2</v>
      </c>
      <c r="E9" s="194">
        <v>54.9</v>
      </c>
      <c r="F9" s="194">
        <v>56.54</v>
      </c>
      <c r="G9" s="194">
        <v>55.26</v>
      </c>
      <c r="H9" s="194">
        <v>54.73</v>
      </c>
      <c r="I9" s="194">
        <v>56.06</v>
      </c>
      <c r="J9" s="194">
        <v>54.33</v>
      </c>
      <c r="K9" s="194">
        <v>51.6</v>
      </c>
      <c r="L9" s="194">
        <v>54.18</v>
      </c>
      <c r="M9" s="194">
        <v>51.4</v>
      </c>
      <c r="N9" s="194">
        <v>49.79</v>
      </c>
      <c r="O9" s="194">
        <v>47.21</v>
      </c>
      <c r="P9" s="194">
        <v>49.3</v>
      </c>
      <c r="Q9"/>
      <c r="R9" s="194">
        <v>58.82</v>
      </c>
      <c r="S9" s="194">
        <v>58.9</v>
      </c>
      <c r="T9" s="194">
        <v>53.16</v>
      </c>
      <c r="U9" s="194">
        <v>58.21</v>
      </c>
      <c r="V9" s="194">
        <v>56.01</v>
      </c>
      <c r="W9" s="194">
        <v>58.48</v>
      </c>
      <c r="X9" s="194">
        <v>57.02</v>
      </c>
      <c r="Y9" s="194">
        <v>55.34</v>
      </c>
      <c r="Z9" s="194">
        <v>50.06</v>
      </c>
      <c r="AA9" s="194">
        <v>50.36</v>
      </c>
      <c r="AB9" s="194">
        <v>53.93</v>
      </c>
      <c r="AC9"/>
      <c r="AD9" s="194">
        <v>39.57</v>
      </c>
      <c r="AE9" s="194">
        <v>45.17</v>
      </c>
      <c r="AF9" s="194">
        <v>39.83</v>
      </c>
      <c r="AG9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/>
      <c r="BB9"/>
      <c r="BC9"/>
      <c r="BD9"/>
      <c r="BE9"/>
      <c r="BF9"/>
      <c r="BG9"/>
    </row>
    <row r="10" spans="1:59" ht="12.75">
      <c r="A10" s="7" t="s">
        <v>319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/>
      <c r="AD10" s="194"/>
      <c r="AE10" s="194"/>
      <c r="AF10" s="194"/>
      <c r="AG10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/>
      <c r="BB10"/>
      <c r="BC10"/>
      <c r="BD10"/>
      <c r="BE10"/>
      <c r="BF10"/>
      <c r="BG10"/>
    </row>
    <row r="11" spans="1:59" ht="12.75">
      <c r="A11" s="7" t="s">
        <v>112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/>
      <c r="R11" s="194"/>
      <c r="S11" s="194">
        <v>0.04</v>
      </c>
      <c r="T11" s="194">
        <v>0.01</v>
      </c>
      <c r="U11" s="194"/>
      <c r="V11" s="194">
        <v>0.19</v>
      </c>
      <c r="W11" s="194">
        <v>0.02</v>
      </c>
      <c r="X11" s="194"/>
      <c r="Y11" s="194">
        <v>0.12</v>
      </c>
      <c r="Z11" s="194">
        <v>0.02</v>
      </c>
      <c r="AA11" s="194">
        <v>0</v>
      </c>
      <c r="AB11" s="194">
        <v>0.07</v>
      </c>
      <c r="AC11"/>
      <c r="AD11" s="194">
        <v>1.95</v>
      </c>
      <c r="AE11" s="194">
        <v>1.09</v>
      </c>
      <c r="AF11" s="194">
        <v>1.25</v>
      </c>
      <c r="AG11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/>
      <c r="BB11"/>
      <c r="BC11"/>
      <c r="BD11"/>
      <c r="BE11"/>
      <c r="BF11"/>
      <c r="BG11"/>
    </row>
    <row r="12" spans="1:59" ht="12.75">
      <c r="A12" s="7" t="s">
        <v>114</v>
      </c>
      <c r="B12" s="194">
        <v>13.14</v>
      </c>
      <c r="C12" s="194">
        <v>11.88</v>
      </c>
      <c r="D12" s="194">
        <v>13.03</v>
      </c>
      <c r="E12" s="194">
        <v>12.7</v>
      </c>
      <c r="F12" s="194">
        <v>12.01</v>
      </c>
      <c r="G12" s="194">
        <v>12.07</v>
      </c>
      <c r="H12" s="194">
        <v>12.76</v>
      </c>
      <c r="I12" s="194">
        <v>10.28</v>
      </c>
      <c r="J12" s="194">
        <v>12.46</v>
      </c>
      <c r="K12" s="194">
        <v>10.97</v>
      </c>
      <c r="L12" s="194">
        <v>11.5</v>
      </c>
      <c r="M12" s="194">
        <v>10.17</v>
      </c>
      <c r="N12" s="194">
        <v>11.19</v>
      </c>
      <c r="O12" s="194">
        <v>11.76</v>
      </c>
      <c r="P12" s="194">
        <v>10.73</v>
      </c>
      <c r="Q12"/>
      <c r="R12" s="194">
        <v>3.45</v>
      </c>
      <c r="S12" s="194">
        <v>0.51</v>
      </c>
      <c r="T12" s="194">
        <v>0.28</v>
      </c>
      <c r="U12" s="194">
        <v>0.76</v>
      </c>
      <c r="V12" s="194">
        <v>1.68</v>
      </c>
      <c r="W12" s="194">
        <v>0.14</v>
      </c>
      <c r="X12" s="194">
        <v>1.48</v>
      </c>
      <c r="Y12" s="194">
        <v>0.63</v>
      </c>
      <c r="Z12" s="194">
        <v>0.87</v>
      </c>
      <c r="AA12" s="194">
        <v>0.74</v>
      </c>
      <c r="AB12" s="194">
        <v>0.12</v>
      </c>
      <c r="AC12"/>
      <c r="AD12" s="194">
        <v>9.32</v>
      </c>
      <c r="AE12" s="194">
        <v>11.18</v>
      </c>
      <c r="AF12" s="194">
        <v>12.39</v>
      </c>
      <c r="AG12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/>
      <c r="BB12"/>
      <c r="BC12"/>
      <c r="BD12"/>
      <c r="BE12"/>
      <c r="BF12"/>
      <c r="BG12"/>
    </row>
    <row r="13" spans="1:59" ht="12.75">
      <c r="A13" s="7" t="s">
        <v>116</v>
      </c>
      <c r="B13" s="194"/>
      <c r="C13" s="194">
        <v>0.38</v>
      </c>
      <c r="D13" s="194"/>
      <c r="E13" s="194">
        <v>0.08</v>
      </c>
      <c r="F13" s="194">
        <v>0</v>
      </c>
      <c r="G13" s="194">
        <v>0.31</v>
      </c>
      <c r="H13" s="194">
        <v>0.16</v>
      </c>
      <c r="I13" s="194">
        <v>0.23</v>
      </c>
      <c r="J13" s="194">
        <v>0</v>
      </c>
      <c r="K13" s="194">
        <v>0.2</v>
      </c>
      <c r="L13" s="194">
        <v>7.38</v>
      </c>
      <c r="M13" s="194">
        <v>0.33</v>
      </c>
      <c r="N13" s="194">
        <v>5.79</v>
      </c>
      <c r="O13" s="194">
        <v>0.62</v>
      </c>
      <c r="P13" s="194">
        <v>3.48</v>
      </c>
      <c r="Q13"/>
      <c r="R13" s="194">
        <v>2.53</v>
      </c>
      <c r="S13" s="194">
        <v>0.01</v>
      </c>
      <c r="T13" s="194">
        <v>0.14</v>
      </c>
      <c r="U13" s="194">
        <v>0.06</v>
      </c>
      <c r="V13" s="194">
        <v>0</v>
      </c>
      <c r="W13" s="194">
        <v>0.27</v>
      </c>
      <c r="X13" s="194">
        <v>0.09</v>
      </c>
      <c r="Y13" s="194">
        <v>0.51</v>
      </c>
      <c r="Z13" s="194">
        <v>0.57</v>
      </c>
      <c r="AA13" s="194">
        <v>0</v>
      </c>
      <c r="AB13" s="194">
        <v>0.25</v>
      </c>
      <c r="AC13"/>
      <c r="AD13" s="194">
        <v>0.21</v>
      </c>
      <c r="AE13" s="194">
        <v>0.41</v>
      </c>
      <c r="AF13" s="194">
        <v>0</v>
      </c>
      <c r="AG13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/>
      <c r="BB13"/>
      <c r="BC13"/>
      <c r="BD13"/>
      <c r="BE13"/>
      <c r="BF13"/>
      <c r="BG13"/>
    </row>
    <row r="14" spans="1:59" ht="12.75">
      <c r="A14" s="7" t="s">
        <v>118</v>
      </c>
      <c r="B14" s="194"/>
      <c r="C14" s="194">
        <v>0.07</v>
      </c>
      <c r="D14" s="194">
        <v>1.91</v>
      </c>
      <c r="E14" s="194">
        <v>2.8</v>
      </c>
      <c r="F14" s="194">
        <v>3.35</v>
      </c>
      <c r="G14" s="194">
        <v>5.12</v>
      </c>
      <c r="H14" s="194">
        <v>9.6</v>
      </c>
      <c r="I14" s="194">
        <v>8.97</v>
      </c>
      <c r="J14" s="194">
        <v>11.68</v>
      </c>
      <c r="K14" s="194">
        <v>15.21</v>
      </c>
      <c r="L14" s="194">
        <v>10.34</v>
      </c>
      <c r="M14" s="194">
        <v>14.91</v>
      </c>
      <c r="N14" s="194">
        <v>14.4</v>
      </c>
      <c r="O14" s="194">
        <v>23.87</v>
      </c>
      <c r="P14" s="194">
        <v>30.5</v>
      </c>
      <c r="Q14"/>
      <c r="R14" s="194"/>
      <c r="S14" s="194">
        <v>3.09</v>
      </c>
      <c r="T14" s="194">
        <v>3.07</v>
      </c>
      <c r="U14" s="194">
        <v>6.27</v>
      </c>
      <c r="V14" s="194">
        <v>7.01</v>
      </c>
      <c r="W14" s="194">
        <v>7.85</v>
      </c>
      <c r="X14" s="194">
        <v>8.71</v>
      </c>
      <c r="Y14" s="194">
        <v>15.29</v>
      </c>
      <c r="Z14" s="194">
        <v>18.42</v>
      </c>
      <c r="AA14" s="194">
        <v>18.36</v>
      </c>
      <c r="AB14" s="194">
        <v>20.5</v>
      </c>
      <c r="AC14"/>
      <c r="AD14" s="194">
        <v>1.56</v>
      </c>
      <c r="AE14" s="194">
        <v>2.81</v>
      </c>
      <c r="AF14" s="194">
        <v>3.78</v>
      </c>
      <c r="AG1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/>
      <c r="BB14"/>
      <c r="BC14"/>
      <c r="BD14"/>
      <c r="BE14"/>
      <c r="BF14"/>
      <c r="BG14"/>
    </row>
    <row r="15" spans="1:59" ht="12.75">
      <c r="A15" s="7" t="s">
        <v>120</v>
      </c>
      <c r="B15" s="194">
        <v>0.06</v>
      </c>
      <c r="C15" s="194">
        <v>0</v>
      </c>
      <c r="D15" s="194">
        <v>0.49</v>
      </c>
      <c r="E15" s="194">
        <v>0.5</v>
      </c>
      <c r="F15" s="194">
        <v>0.07</v>
      </c>
      <c r="G15" s="194">
        <v>1.19</v>
      </c>
      <c r="H15" s="194">
        <v>0</v>
      </c>
      <c r="I15" s="194">
        <v>2.22</v>
      </c>
      <c r="J15" s="194">
        <v>1.09</v>
      </c>
      <c r="K15" s="194">
        <v>2.6</v>
      </c>
      <c r="L15" s="194">
        <v>0.5</v>
      </c>
      <c r="M15" s="194">
        <v>3.9</v>
      </c>
      <c r="N15" s="194">
        <v>3.46</v>
      </c>
      <c r="O15" s="194">
        <v>5.26</v>
      </c>
      <c r="P15" s="194">
        <v>2.15</v>
      </c>
      <c r="Q15"/>
      <c r="R15" s="194">
        <v>0.52</v>
      </c>
      <c r="S15" s="194">
        <v>0.8</v>
      </c>
      <c r="T15" s="194">
        <v>4.53</v>
      </c>
      <c r="U15" s="194">
        <v>1.22</v>
      </c>
      <c r="V15" s="194">
        <v>0.15</v>
      </c>
      <c r="W15" s="194">
        <v>0.58</v>
      </c>
      <c r="X15" s="194"/>
      <c r="Y15" s="194"/>
      <c r="Z15" s="194">
        <v>0.96</v>
      </c>
      <c r="AA15" s="194">
        <v>2.18</v>
      </c>
      <c r="AB15" s="194">
        <v>1.84</v>
      </c>
      <c r="AC15"/>
      <c r="AD15" s="194">
        <v>7.13</v>
      </c>
      <c r="AE15" s="194">
        <v>14.3</v>
      </c>
      <c r="AF15" s="194">
        <v>7.66</v>
      </c>
      <c r="AG15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/>
      <c r="BB15"/>
      <c r="BC15"/>
      <c r="BD15"/>
      <c r="BE15"/>
      <c r="BF15"/>
      <c r="BG15"/>
    </row>
    <row r="16" spans="1:59" ht="12.75">
      <c r="A16" s="3" t="s">
        <v>122</v>
      </c>
      <c r="B16" s="124"/>
      <c r="C16" s="124"/>
      <c r="D16" s="124">
        <v>0.25</v>
      </c>
      <c r="E16" s="124">
        <v>0.21</v>
      </c>
      <c r="F16" s="124">
        <v>0</v>
      </c>
      <c r="G16" s="124">
        <v>0.04</v>
      </c>
      <c r="H16" s="124">
        <v>0.21</v>
      </c>
      <c r="I16" s="124">
        <v>0.12</v>
      </c>
      <c r="J16" s="124">
        <v>0.29</v>
      </c>
      <c r="K16" s="124">
        <v>0.5</v>
      </c>
      <c r="L16" s="124">
        <v>0.28</v>
      </c>
      <c r="M16" s="124">
        <v>0.74</v>
      </c>
      <c r="N16" s="124">
        <v>0.16</v>
      </c>
      <c r="O16" s="124">
        <v>1.4</v>
      </c>
      <c r="P16" s="124"/>
      <c r="Q16"/>
      <c r="R16" s="124"/>
      <c r="S16" s="124">
        <v>0.17</v>
      </c>
      <c r="T16" s="124"/>
      <c r="U16" s="124"/>
      <c r="V16" s="124">
        <v>0.14</v>
      </c>
      <c r="W16" s="124">
        <v>0.03</v>
      </c>
      <c r="X16" s="124"/>
      <c r="Y16" s="124"/>
      <c r="Z16" s="124">
        <v>0.2</v>
      </c>
      <c r="AA16" s="124">
        <v>0.43</v>
      </c>
      <c r="AB16" s="124">
        <v>0.02</v>
      </c>
      <c r="AC16"/>
      <c r="AD16" s="124">
        <v>4.19</v>
      </c>
      <c r="AE16" s="124">
        <v>2.11</v>
      </c>
      <c r="AF16" s="124">
        <v>2.56</v>
      </c>
      <c r="AG16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/>
      <c r="BB16"/>
      <c r="BC16"/>
      <c r="BD16"/>
      <c r="BE16"/>
      <c r="BF16"/>
      <c r="BG16"/>
    </row>
    <row r="17" spans="1:59" ht="12.75">
      <c r="A17" s="114" t="s">
        <v>320</v>
      </c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  <c r="L17">
        <v>11</v>
      </c>
      <c r="M17">
        <v>12</v>
      </c>
      <c r="N17">
        <v>13</v>
      </c>
      <c r="O17">
        <v>14</v>
      </c>
      <c r="P17">
        <v>15</v>
      </c>
      <c r="Q17"/>
      <c r="R17">
        <v>1</v>
      </c>
      <c r="S17">
        <v>2</v>
      </c>
      <c r="T17">
        <v>3</v>
      </c>
      <c r="U17">
        <v>4</v>
      </c>
      <c r="V17">
        <v>5</v>
      </c>
      <c r="W17">
        <v>6</v>
      </c>
      <c r="X17">
        <v>7</v>
      </c>
      <c r="Y17">
        <v>8</v>
      </c>
      <c r="Z17">
        <v>9</v>
      </c>
      <c r="AA17">
        <v>10</v>
      </c>
      <c r="AB17">
        <v>11</v>
      </c>
      <c r="AC17"/>
      <c r="AD17">
        <v>1</v>
      </c>
      <c r="AE17">
        <v>2</v>
      </c>
      <c r="AF17">
        <v>3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ht="12.75" customHeight="1"/>
    <row r="22" ht="12.75" customHeight="1">
      <c r="A22" s="256" t="s">
        <v>321</v>
      </c>
    </row>
    <row r="23" ht="12.75" customHeight="1"/>
    <row r="24" spans="1:16" ht="12.75" customHeight="1">
      <c r="A24"/>
      <c r="B24" s="195" t="s">
        <v>322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82" ht="12.75" customHeight="1" thickBot="1">
      <c r="A25" s="196" t="s">
        <v>92</v>
      </c>
      <c r="B25" s="196" t="s">
        <v>60</v>
      </c>
      <c r="C25" s="196" t="s">
        <v>60</v>
      </c>
      <c r="D25" s="196" t="s">
        <v>60</v>
      </c>
      <c r="E25" s="196" t="s">
        <v>60</v>
      </c>
      <c r="F25" s="196" t="s">
        <v>60</v>
      </c>
      <c r="G25" s="196" t="s">
        <v>60</v>
      </c>
      <c r="H25" s="196" t="s">
        <v>60</v>
      </c>
      <c r="I25" s="196" t="s">
        <v>60</v>
      </c>
      <c r="J25" s="196" t="s">
        <v>60</v>
      </c>
      <c r="K25" s="196" t="s">
        <v>60</v>
      </c>
      <c r="L25" s="196" t="s">
        <v>60</v>
      </c>
      <c r="M25" s="196" t="s">
        <v>60</v>
      </c>
      <c r="N25" s="196" t="s">
        <v>60</v>
      </c>
      <c r="O25" s="196" t="s">
        <v>60</v>
      </c>
      <c r="P25" s="196" t="s">
        <v>60</v>
      </c>
      <c r="Q25" s="196" t="s">
        <v>60</v>
      </c>
      <c r="R25" s="196" t="s">
        <v>60</v>
      </c>
      <c r="S25" s="196" t="s">
        <v>60</v>
      </c>
      <c r="T25" s="196" t="s">
        <v>60</v>
      </c>
      <c r="U25" s="196" t="s">
        <v>60</v>
      </c>
      <c r="V25" s="196" t="s">
        <v>60</v>
      </c>
      <c r="W25" s="196" t="s">
        <v>60</v>
      </c>
      <c r="X25" s="196" t="s">
        <v>60</v>
      </c>
      <c r="Y25" s="196" t="s">
        <v>60</v>
      </c>
      <c r="Z25" s="196" t="s">
        <v>60</v>
      </c>
      <c r="AA25" s="196" t="s">
        <v>60</v>
      </c>
      <c r="AB25" s="196" t="s">
        <v>60</v>
      </c>
      <c r="AC25" s="196" t="s">
        <v>60</v>
      </c>
      <c r="AD25" s="196" t="s">
        <v>60</v>
      </c>
      <c r="AE25" s="196" t="s">
        <v>60</v>
      </c>
      <c r="AF25" s="196" t="s">
        <v>60</v>
      </c>
      <c r="AG25" s="196" t="s">
        <v>60</v>
      </c>
      <c r="AH25" s="196" t="s">
        <v>60</v>
      </c>
      <c r="AI25" s="196" t="s">
        <v>60</v>
      </c>
      <c r="AJ25" s="196" t="s">
        <v>60</v>
      </c>
      <c r="AK25" s="196" t="s">
        <v>60</v>
      </c>
      <c r="AL25" s="196" t="s">
        <v>60</v>
      </c>
      <c r="AM25" s="196" t="s">
        <v>60</v>
      </c>
      <c r="AN25" s="196" t="s">
        <v>60</v>
      </c>
      <c r="AO25" s="196" t="s">
        <v>60</v>
      </c>
      <c r="AP25" s="196" t="s">
        <v>60</v>
      </c>
      <c r="AQ25" s="196" t="s">
        <v>60</v>
      </c>
      <c r="AR25" s="196" t="s">
        <v>60</v>
      </c>
      <c r="AS25" s="196" t="s">
        <v>60</v>
      </c>
      <c r="AT25" s="196" t="s">
        <v>60</v>
      </c>
      <c r="AU25" s="196" t="s">
        <v>60</v>
      </c>
      <c r="AV25" s="196" t="s">
        <v>60</v>
      </c>
      <c r="AW25" s="196" t="s">
        <v>60</v>
      </c>
      <c r="AX25" s="196" t="s">
        <v>60</v>
      </c>
      <c r="AY25" s="196" t="s">
        <v>60</v>
      </c>
      <c r="AZ25" s="196" t="s">
        <v>60</v>
      </c>
      <c r="BA25" s="196" t="s">
        <v>60</v>
      </c>
      <c r="BB25" s="196" t="s">
        <v>60</v>
      </c>
      <c r="BC25" s="196" t="s">
        <v>60</v>
      </c>
      <c r="BD25" s="196" t="s">
        <v>60</v>
      </c>
      <c r="BE25" s="196" t="s">
        <v>60</v>
      </c>
      <c r="BF25" s="196" t="s">
        <v>60</v>
      </c>
      <c r="BG25" s="196" t="s">
        <v>60</v>
      </c>
      <c r="BH25" s="196" t="s">
        <v>60</v>
      </c>
      <c r="BI25" s="196" t="s">
        <v>60</v>
      </c>
      <c r="BJ25" s="196" t="s">
        <v>60</v>
      </c>
      <c r="BK25" s="196" t="s">
        <v>60</v>
      </c>
      <c r="BL25" s="196" t="s">
        <v>60</v>
      </c>
      <c r="BM25" s="196" t="s">
        <v>60</v>
      </c>
      <c r="BN25" s="196" t="s">
        <v>60</v>
      </c>
      <c r="BO25" s="196" t="s">
        <v>60</v>
      </c>
      <c r="BP25" s="196" t="s">
        <v>60</v>
      </c>
      <c r="BQ25" s="196" t="s">
        <v>60</v>
      </c>
      <c r="BR25" s="196" t="s">
        <v>60</v>
      </c>
      <c r="BS25" s="196" t="s">
        <v>60</v>
      </c>
      <c r="BT25" s="196" t="s">
        <v>60</v>
      </c>
      <c r="BU25" s="196" t="s">
        <v>60</v>
      </c>
      <c r="BV25" s="196" t="s">
        <v>60</v>
      </c>
      <c r="BW25" s="196" t="s">
        <v>60</v>
      </c>
      <c r="BX25" s="196" t="s">
        <v>60</v>
      </c>
      <c r="BY25" s="196" t="s">
        <v>60</v>
      </c>
      <c r="BZ25" s="196" t="s">
        <v>60</v>
      </c>
      <c r="CA25" s="196" t="s">
        <v>60</v>
      </c>
      <c r="CB25" s="196" t="s">
        <v>60</v>
      </c>
      <c r="CC25" s="196" t="s">
        <v>60</v>
      </c>
      <c r="CD25" s="196" t="s">
        <v>60</v>
      </c>
    </row>
    <row r="26" spans="1:82" ht="12.75" customHeight="1" thickTop="1">
      <c r="A26" s="7" t="s">
        <v>97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spans="1:82" ht="12.75" customHeight="1">
      <c r="A27" s="7" t="s">
        <v>101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</row>
    <row r="28" spans="1:82" ht="12.75" customHeight="1">
      <c r="A28" s="7" t="s">
        <v>104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</row>
    <row r="29" spans="1:82" ht="12.75" customHeight="1">
      <c r="A29" s="7" t="s">
        <v>107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</row>
    <row r="30" spans="1:82" ht="12.75" customHeight="1">
      <c r="A30" s="7" t="s">
        <v>319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</row>
    <row r="31" spans="1:82" ht="12.75" customHeight="1">
      <c r="A31" s="7" t="s">
        <v>112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</row>
    <row r="32" spans="1:82" ht="12.75" customHeight="1">
      <c r="A32" s="7" t="s">
        <v>114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</row>
    <row r="33" spans="1:82" ht="12.75" customHeight="1">
      <c r="A33" s="7" t="s">
        <v>116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</row>
    <row r="34" spans="1:82" ht="12.75" customHeight="1">
      <c r="A34" s="7" t="s">
        <v>118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</row>
    <row r="35" spans="1:82" ht="12.75" customHeight="1">
      <c r="A35" s="7" t="s">
        <v>120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</row>
    <row r="36" spans="1:82" ht="12.75" customHeight="1">
      <c r="A36" s="3" t="s">
        <v>122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</row>
    <row r="37" spans="1:16" ht="12.75" customHeight="1">
      <c r="A37" s="114" t="s">
        <v>320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printOptions/>
  <pageMargins left="0.62" right="0.45" top="0.78" bottom="0.29" header="0.63" footer="0.25"/>
  <pageSetup horizontalDpi="300" verticalDpi="3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Asbestfasern in Gesteinsstäuben</dc:title>
  <dc:subject>Automatisierte Faseridentifizierung</dc:subject>
  <dc:creator> BIA, Dr. Markus Mattenklott</dc:creator>
  <cp:keywords>Faseridentifizierung</cp:keywords>
  <dc:description>Die Arbeitsmappe FASERID.XLS  ermöglicht eine automatisierte Über-prüfung ergänzender Auswertekrite-rien für die Methode ZH 1/120.44
zur Identifizierung von Fasern in Gesteinsstäuben
(s. Gefahrstoffe-Reinh.d.Luft x (1997) S. xxx-xxx, Springer-VDI Verlag).</dc:description>
  <cp:lastModifiedBy>mattenklott.markus</cp:lastModifiedBy>
  <cp:lastPrinted>2007-04-17T07:05:15Z</cp:lastPrinted>
  <dcterms:created xsi:type="dcterms:W3CDTF">1999-09-13T08:28:40Z</dcterms:created>
  <dcterms:modified xsi:type="dcterms:W3CDTF">2007-04-17T07:23:17Z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-557540773</vt:i4>
  </property>
  <property fmtid="{D5CDD505-2E9C-101B-9397-08002B2CF9AE}" pid="4" name="_EmailSubje">
    <vt:lpwstr>Ihre Internetseite "Faseridentifizierung" (Downloadfehler)</vt:lpwstr>
  </property>
  <property fmtid="{D5CDD505-2E9C-101B-9397-08002B2CF9AE}" pid="5" name="_AuthorEma">
    <vt:lpwstr>Markus.Mattenklott@hvbg.de</vt:lpwstr>
  </property>
  <property fmtid="{D5CDD505-2E9C-101B-9397-08002B2CF9AE}" pid="6" name="_AuthorEmailDisplayNa">
    <vt:lpwstr>Mattenklott Markus</vt:lpwstr>
  </property>
</Properties>
</file>